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-106105458615904388858/Mi unidad/GREEN LATINO/PROYECTOS/PLANETA EDITORIAL/RUGE - DANIEL HABIF/WEB RUGE/HERRAMIENTA DE TOMA DE DESICIONES/"/>
    </mc:Choice>
  </mc:AlternateContent>
  <xr:revisionPtr revIDLastSave="0" documentId="13_ncr:1_{5ED49D4B-7DC6-8548-8E54-D8FF1BCC281A}" xr6:coauthVersionLast="47" xr6:coauthVersionMax="47" xr10:uidLastSave="{00000000-0000-0000-0000-000000000000}"/>
  <bookViews>
    <workbookView xWindow="22060" yWindow="460" windowWidth="29040" windowHeight="16800" xr2:uid="{73CEE889-0C80-4D5A-A9C8-3ADB7445F0B3}"/>
  </bookViews>
  <sheets>
    <sheet name="P1" sheetId="1" r:id="rId1"/>
    <sheet name="P2" sheetId="3" r:id="rId2"/>
    <sheet name="P3" sheetId="5" r:id="rId3"/>
    <sheet name="P0" sheetId="4" state="hidden" r:id="rId4"/>
    <sheet name="A0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3" l="1"/>
  <c r="X2" i="1"/>
  <c r="G12" i="3" l="1"/>
  <c r="C15" i="3" l="1"/>
  <c r="V11" i="3"/>
  <c r="AF11" i="3" s="1"/>
  <c r="U11" i="3"/>
  <c r="AE11" i="3" s="1"/>
  <c r="T11" i="3"/>
  <c r="AD11" i="3" s="1"/>
  <c r="S11" i="3"/>
  <c r="AC11" i="3" s="1"/>
  <c r="R11" i="3"/>
  <c r="AB11" i="3" s="1"/>
  <c r="Q11" i="3"/>
  <c r="AA11" i="3" s="1"/>
  <c r="P11" i="3"/>
  <c r="Z11" i="3" s="1"/>
  <c r="V10" i="3"/>
  <c r="AF10" i="3" s="1"/>
  <c r="U10" i="3"/>
  <c r="AE10" i="3" s="1"/>
  <c r="T10" i="3"/>
  <c r="AD10" i="3" s="1"/>
  <c r="S10" i="3"/>
  <c r="AC10" i="3" s="1"/>
  <c r="R10" i="3"/>
  <c r="AB10" i="3" s="1"/>
  <c r="Q10" i="3"/>
  <c r="AA10" i="3" s="1"/>
  <c r="P10" i="3"/>
  <c r="Z10" i="3" s="1"/>
  <c r="V9" i="3"/>
  <c r="AF9" i="3" s="1"/>
  <c r="U9" i="3"/>
  <c r="AE9" i="3" s="1"/>
  <c r="T9" i="3"/>
  <c r="AD9" i="3" s="1"/>
  <c r="S9" i="3"/>
  <c r="AC9" i="3" s="1"/>
  <c r="V8" i="3"/>
  <c r="AF8" i="3" s="1"/>
  <c r="U8" i="3"/>
  <c r="AE8" i="3" s="1"/>
  <c r="T8" i="3"/>
  <c r="AD8" i="3" s="1"/>
  <c r="S8" i="3"/>
  <c r="AC8" i="3" s="1"/>
  <c r="V7" i="3"/>
  <c r="AF7" i="3" s="1"/>
  <c r="U7" i="3"/>
  <c r="AE7" i="3" s="1"/>
  <c r="T7" i="3"/>
  <c r="AD7" i="3" s="1"/>
  <c r="S7" i="3"/>
  <c r="AC7" i="3" s="1"/>
  <c r="V6" i="3"/>
  <c r="U6" i="3"/>
  <c r="AE6" i="3" s="1"/>
  <c r="AH11" i="3" s="1"/>
  <c r="AL11" i="3" s="1"/>
  <c r="T6" i="3"/>
  <c r="AD6" i="3" s="1"/>
  <c r="AH10" i="3" s="1"/>
  <c r="AL10" i="3" s="1"/>
  <c r="S6" i="3"/>
  <c r="R6" i="3"/>
  <c r="Q6" i="3"/>
  <c r="AA6" i="3" s="1"/>
  <c r="AH7" i="3" s="1"/>
  <c r="AL7" i="3" s="1"/>
  <c r="P6" i="3"/>
  <c r="C11" i="3"/>
  <c r="C10" i="3"/>
  <c r="C9" i="3"/>
  <c r="C8" i="3"/>
  <c r="C7" i="3"/>
  <c r="V60" i="4"/>
  <c r="L50" i="4"/>
  <c r="G45" i="4"/>
  <c r="B42" i="4"/>
  <c r="D37" i="4"/>
  <c r="AD36" i="4"/>
  <c r="AA36" i="4"/>
  <c r="U36" i="4"/>
  <c r="AE36" i="4" s="1"/>
  <c r="T36" i="4"/>
  <c r="S36" i="4"/>
  <c r="AC36" i="4" s="1"/>
  <c r="R36" i="4"/>
  <c r="AB36" i="4" s="1"/>
  <c r="Q36" i="4"/>
  <c r="P36" i="4"/>
  <c r="Z36" i="4" s="1"/>
  <c r="O36" i="4"/>
  <c r="Y36" i="4" s="1"/>
  <c r="B36" i="4"/>
  <c r="AA35" i="4"/>
  <c r="U35" i="4"/>
  <c r="AE35" i="4" s="1"/>
  <c r="T35" i="4"/>
  <c r="AD35" i="4" s="1"/>
  <c r="S35" i="4"/>
  <c r="AC35" i="4" s="1"/>
  <c r="R35" i="4"/>
  <c r="AB35" i="4" s="1"/>
  <c r="Q35" i="4"/>
  <c r="P35" i="4"/>
  <c r="Z35" i="4" s="1"/>
  <c r="O35" i="4"/>
  <c r="Y35" i="4" s="1"/>
  <c r="B35" i="4"/>
  <c r="AD34" i="4"/>
  <c r="AA34" i="4"/>
  <c r="U34" i="4"/>
  <c r="AE34" i="4" s="1"/>
  <c r="T34" i="4"/>
  <c r="S34" i="4"/>
  <c r="AC34" i="4" s="1"/>
  <c r="R34" i="4"/>
  <c r="AB34" i="4" s="1"/>
  <c r="Q34" i="4"/>
  <c r="P34" i="4"/>
  <c r="Z34" i="4" s="1"/>
  <c r="O34" i="4"/>
  <c r="Y34" i="4" s="1"/>
  <c r="B34" i="4"/>
  <c r="AD33" i="4"/>
  <c r="AC33" i="4"/>
  <c r="AA33" i="4"/>
  <c r="U33" i="4"/>
  <c r="AE33" i="4" s="1"/>
  <c r="T33" i="4"/>
  <c r="S33" i="4"/>
  <c r="R33" i="4"/>
  <c r="AB33" i="4" s="1"/>
  <c r="Q33" i="4"/>
  <c r="P33" i="4"/>
  <c r="Z33" i="4" s="1"/>
  <c r="O33" i="4"/>
  <c r="Y33" i="4" s="1"/>
  <c r="B33" i="4"/>
  <c r="AA32" i="4"/>
  <c r="AA37" i="4" s="1"/>
  <c r="AH33" i="4" s="1"/>
  <c r="Z32" i="4"/>
  <c r="U32" i="4"/>
  <c r="AE32" i="4" s="1"/>
  <c r="T32" i="4"/>
  <c r="AD32" i="4" s="1"/>
  <c r="S32" i="4"/>
  <c r="AC32" i="4" s="1"/>
  <c r="R32" i="4"/>
  <c r="AB32" i="4" s="1"/>
  <c r="Q32" i="4"/>
  <c r="P32" i="4"/>
  <c r="O32" i="4"/>
  <c r="Y32" i="4" s="1"/>
  <c r="Y37" i="4" s="1"/>
  <c r="AH31" i="4" s="1"/>
  <c r="B32" i="4"/>
  <c r="AE31" i="4"/>
  <c r="AG37" i="4" s="1"/>
  <c r="AK37" i="4" s="1"/>
  <c r="AC31" i="4"/>
  <c r="AG35" i="4" s="1"/>
  <c r="AK35" i="4" s="1"/>
  <c r="U31" i="4"/>
  <c r="AF45" i="4" s="1"/>
  <c r="T31" i="4"/>
  <c r="AD31" i="4" s="1"/>
  <c r="AG36" i="4" s="1"/>
  <c r="AK36" i="4" s="1"/>
  <c r="S31" i="4"/>
  <c r="V65" i="4" s="1"/>
  <c r="R31" i="4"/>
  <c r="Q60" i="4" s="1"/>
  <c r="Q31" i="4"/>
  <c r="L55" i="4" s="1"/>
  <c r="P31" i="4"/>
  <c r="G50" i="4" s="1"/>
  <c r="O31" i="4"/>
  <c r="B45" i="4" s="1"/>
  <c r="Q4" i="4"/>
  <c r="Q3" i="4"/>
  <c r="Q2" i="4"/>
  <c r="Q5" i="4" s="1"/>
  <c r="R9" i="3"/>
  <c r="AB9" i="3" s="1"/>
  <c r="Q9" i="3"/>
  <c r="AA9" i="3" s="1"/>
  <c r="P9" i="3"/>
  <c r="Z9" i="3" s="1"/>
  <c r="R8" i="3"/>
  <c r="AB8" i="3" s="1"/>
  <c r="Q8" i="3"/>
  <c r="AA8" i="3" s="1"/>
  <c r="P8" i="3"/>
  <c r="Z8" i="3" s="1"/>
  <c r="R7" i="3"/>
  <c r="AB7" i="3" s="1"/>
  <c r="Q7" i="3"/>
  <c r="AA7" i="3" s="1"/>
  <c r="P7" i="3"/>
  <c r="Z7" i="3" s="1"/>
  <c r="P36" i="2"/>
  <c r="P35" i="2"/>
  <c r="P34" i="2"/>
  <c r="P33" i="2"/>
  <c r="O36" i="2"/>
  <c r="O35" i="2"/>
  <c r="O34" i="2"/>
  <c r="O33" i="2"/>
  <c r="O32" i="2"/>
  <c r="AL100" i="2"/>
  <c r="E36" i="2"/>
  <c r="F36" i="2" s="1"/>
  <c r="E35" i="2"/>
  <c r="F35" i="2" s="1"/>
  <c r="E34" i="2"/>
  <c r="E33" i="2"/>
  <c r="E32" i="2"/>
  <c r="F32" i="2" s="1"/>
  <c r="F34" i="2"/>
  <c r="F33" i="2"/>
  <c r="H33" i="3" l="1"/>
  <c r="R28" i="3"/>
  <c r="C18" i="3"/>
  <c r="C33" i="3"/>
  <c r="R38" i="3"/>
  <c r="AG33" i="3"/>
  <c r="M33" i="3"/>
  <c r="W18" i="3"/>
  <c r="R33" i="3"/>
  <c r="M18" i="3"/>
  <c r="R23" i="3"/>
  <c r="M28" i="3"/>
  <c r="M38" i="3"/>
  <c r="AG38" i="3"/>
  <c r="AB23" i="3"/>
  <c r="C28" i="3"/>
  <c r="AB18" i="3"/>
  <c r="AG23" i="3"/>
  <c r="W33" i="3"/>
  <c r="AG18" i="3"/>
  <c r="AG28" i="3"/>
  <c r="C38" i="3"/>
  <c r="W38" i="3"/>
  <c r="C23" i="3"/>
  <c r="AB28" i="3"/>
  <c r="AB33" i="3"/>
  <c r="H23" i="3"/>
  <c r="W28" i="3"/>
  <c r="H38" i="3"/>
  <c r="AB38" i="3"/>
  <c r="H18" i="3"/>
  <c r="M23" i="3"/>
  <c r="W23" i="3"/>
  <c r="H28" i="3"/>
  <c r="AC6" i="3"/>
  <c r="AH9" i="3" s="1"/>
  <c r="AL9" i="3" s="1"/>
  <c r="AA12" i="3"/>
  <c r="AI7" i="3" s="1"/>
  <c r="AF12" i="3"/>
  <c r="AI12" i="3" s="1"/>
  <c r="AE37" i="4"/>
  <c r="AH37" i="4" s="1"/>
  <c r="Z37" i="4"/>
  <c r="AH32" i="4" s="1"/>
  <c r="AL31" i="4"/>
  <c r="AI31" i="4"/>
  <c r="AB37" i="4"/>
  <c r="AH34" i="4" s="1"/>
  <c r="AI33" i="4"/>
  <c r="AL33" i="4"/>
  <c r="AC37" i="4"/>
  <c r="AH35" i="4" s="1"/>
  <c r="AD37" i="4"/>
  <c r="AH36" i="4" s="1"/>
  <c r="L45" i="4"/>
  <c r="Q50" i="4"/>
  <c r="V55" i="4"/>
  <c r="AA60" i="4"/>
  <c r="AF65" i="4"/>
  <c r="AA65" i="4"/>
  <c r="Y31" i="4"/>
  <c r="AG31" i="4" s="1"/>
  <c r="AK31" i="4" s="1"/>
  <c r="Q45" i="4"/>
  <c r="V50" i="4"/>
  <c r="AA55" i="4"/>
  <c r="AF60" i="4"/>
  <c r="Z31" i="4"/>
  <c r="AG32" i="4" s="1"/>
  <c r="AK32" i="4" s="1"/>
  <c r="V45" i="4"/>
  <c r="AA50" i="4"/>
  <c r="AF55" i="4"/>
  <c r="B65" i="4"/>
  <c r="Q55" i="4"/>
  <c r="AA31" i="4"/>
  <c r="AG33" i="4" s="1"/>
  <c r="AK33" i="4" s="1"/>
  <c r="AA45" i="4"/>
  <c r="AF50" i="4"/>
  <c r="B60" i="4"/>
  <c r="G65" i="4"/>
  <c r="AB31" i="4"/>
  <c r="AG34" i="4" s="1"/>
  <c r="AK34" i="4" s="1"/>
  <c r="B55" i="4"/>
  <c r="G60" i="4"/>
  <c r="L65" i="4"/>
  <c r="B50" i="4"/>
  <c r="G55" i="4"/>
  <c r="L60" i="4"/>
  <c r="Q65" i="4"/>
  <c r="AC12" i="3"/>
  <c r="AI9" i="3" s="1"/>
  <c r="Z12" i="3"/>
  <c r="AI6" i="3" s="1"/>
  <c r="AE12" i="3"/>
  <c r="AI11" i="3" s="1"/>
  <c r="AB12" i="3"/>
  <c r="AI8" i="3" s="1"/>
  <c r="AD12" i="3"/>
  <c r="AI10" i="3" s="1"/>
  <c r="AF6" i="3"/>
  <c r="AH12" i="3" s="1"/>
  <c r="AL12" i="3" s="1"/>
  <c r="Z6" i="3"/>
  <c r="AH6" i="3" s="1"/>
  <c r="AL6" i="3" s="1"/>
  <c r="AB6" i="3"/>
  <c r="AH8" i="3" s="1"/>
  <c r="AL8" i="3" s="1"/>
  <c r="G34" i="2"/>
  <c r="G33" i="2"/>
  <c r="G32" i="2"/>
  <c r="G35" i="2"/>
  <c r="G36" i="2"/>
  <c r="AJ9" i="3" l="1"/>
  <c r="AM9" i="3"/>
  <c r="AJ7" i="3"/>
  <c r="AM7" i="3"/>
  <c r="AJ11" i="3"/>
  <c r="AM11" i="3"/>
  <c r="AJ12" i="3"/>
  <c r="AM12" i="3"/>
  <c r="AJ10" i="3"/>
  <c r="AM10" i="3"/>
  <c r="AM6" i="3"/>
  <c r="AJ6" i="3"/>
  <c r="AJ8" i="3"/>
  <c r="AM8" i="3"/>
  <c r="AI35" i="4"/>
  <c r="AL35" i="4"/>
  <c r="AL34" i="4"/>
  <c r="AI34" i="4"/>
  <c r="AJ34" i="4" s="1"/>
  <c r="AI32" i="4"/>
  <c r="AL32" i="4"/>
  <c r="AL36" i="4"/>
  <c r="AI36" i="4"/>
  <c r="AJ36" i="4" s="1"/>
  <c r="AL37" i="4"/>
  <c r="AI37" i="4"/>
  <c r="O31" i="2"/>
  <c r="P31" i="2"/>
  <c r="Q31" i="2"/>
  <c r="R31" i="2"/>
  <c r="S31" i="2"/>
  <c r="T31" i="2"/>
  <c r="U31" i="2"/>
  <c r="Y32" i="2"/>
  <c r="P32" i="2"/>
  <c r="Z32" i="2" s="1"/>
  <c r="Q32" i="2"/>
  <c r="AA32" i="2" s="1"/>
  <c r="R32" i="2"/>
  <c r="AB32" i="2" s="1"/>
  <c r="S32" i="2"/>
  <c r="AC32" i="2" s="1"/>
  <c r="T32" i="2"/>
  <c r="AD32" i="2" s="1"/>
  <c r="U32" i="2"/>
  <c r="AE32" i="2" s="1"/>
  <c r="Y33" i="2"/>
  <c r="Z33" i="2"/>
  <c r="Q33" i="2"/>
  <c r="AA33" i="2" s="1"/>
  <c r="R33" i="2"/>
  <c r="AB33" i="2" s="1"/>
  <c r="S33" i="2"/>
  <c r="AC33" i="2" s="1"/>
  <c r="T33" i="2"/>
  <c r="AD33" i="2" s="1"/>
  <c r="U33" i="2"/>
  <c r="AE33" i="2" s="1"/>
  <c r="Y34" i="2"/>
  <c r="Z34" i="2"/>
  <c r="Q34" i="2"/>
  <c r="AA34" i="2" s="1"/>
  <c r="R34" i="2"/>
  <c r="AB34" i="2" s="1"/>
  <c r="S34" i="2"/>
  <c r="AC34" i="2" s="1"/>
  <c r="T34" i="2"/>
  <c r="AD34" i="2" s="1"/>
  <c r="U34" i="2"/>
  <c r="AE34" i="2" s="1"/>
  <c r="Y35" i="2"/>
  <c r="Z35" i="2"/>
  <c r="Q35" i="2"/>
  <c r="AA35" i="2" s="1"/>
  <c r="R35" i="2"/>
  <c r="AB35" i="2" s="1"/>
  <c r="S35" i="2"/>
  <c r="AC35" i="2" s="1"/>
  <c r="T35" i="2"/>
  <c r="AD35" i="2" s="1"/>
  <c r="U35" i="2"/>
  <c r="AE35" i="2" s="1"/>
  <c r="Y36" i="2"/>
  <c r="Z36" i="2"/>
  <c r="Q36" i="2"/>
  <c r="AA36" i="2" s="1"/>
  <c r="R36" i="2"/>
  <c r="AB36" i="2" s="1"/>
  <c r="S36" i="2"/>
  <c r="AC36" i="2" s="1"/>
  <c r="T36" i="2"/>
  <c r="AD36" i="2" s="1"/>
  <c r="U36" i="2"/>
  <c r="AE36" i="2" s="1"/>
  <c r="AL87" i="2"/>
  <c r="AL74" i="2"/>
  <c r="AL61" i="2"/>
  <c r="AL54" i="2"/>
  <c r="AL53" i="2"/>
  <c r="AL52" i="2"/>
  <c r="AL51" i="2"/>
  <c r="AL50" i="2"/>
  <c r="AL49" i="2"/>
  <c r="AL48" i="2"/>
  <c r="B36" i="2"/>
  <c r="H36" i="2" s="1"/>
  <c r="B35" i="2"/>
  <c r="H35" i="2" s="1"/>
  <c r="B86" i="2" s="1"/>
  <c r="B34" i="2"/>
  <c r="H34" i="2" s="1"/>
  <c r="B33" i="2"/>
  <c r="H33" i="2" s="1"/>
  <c r="B32" i="2"/>
  <c r="H32" i="2" s="1"/>
  <c r="B42" i="2"/>
  <c r="D37" i="2"/>
  <c r="Q4" i="2"/>
  <c r="Q3" i="2"/>
  <c r="Q2" i="2"/>
  <c r="AK8" i="3" l="1"/>
  <c r="AK12" i="3"/>
  <c r="AK6" i="3"/>
  <c r="AK7" i="3"/>
  <c r="AK11" i="3"/>
  <c r="AK10" i="3"/>
  <c r="AK9" i="3"/>
  <c r="AJ35" i="4"/>
  <c r="AJ32" i="4"/>
  <c r="AJ31" i="4"/>
  <c r="AJ37" i="4"/>
  <c r="AJ33" i="4"/>
  <c r="B99" i="2"/>
  <c r="AE31" i="2"/>
  <c r="AG37" i="2" s="1"/>
  <c r="AK37" i="2" s="1"/>
  <c r="AD31" i="2"/>
  <c r="AG36" i="2" s="1"/>
  <c r="AK36" i="2" s="1"/>
  <c r="AC31" i="2"/>
  <c r="AG35" i="2" s="1"/>
  <c r="AK35" i="2" s="1"/>
  <c r="AB31" i="2"/>
  <c r="AG34" i="2" s="1"/>
  <c r="AK34" i="2" s="1"/>
  <c r="AA31" i="2"/>
  <c r="AG33" i="2" s="1"/>
  <c r="AK33" i="2" s="1"/>
  <c r="Z31" i="2"/>
  <c r="AG32" i="2" s="1"/>
  <c r="AK32" i="2" s="1"/>
  <c r="Y31" i="2"/>
  <c r="AG31" i="2" s="1"/>
  <c r="AK31" i="2" s="1"/>
  <c r="AA37" i="2"/>
  <c r="AH33" i="2" s="1"/>
  <c r="AL33" i="2" s="1"/>
  <c r="AD37" i="2"/>
  <c r="AH36" i="2" s="1"/>
  <c r="AL36" i="2" s="1"/>
  <c r="Z37" i="2"/>
  <c r="AC37" i="2"/>
  <c r="AH35" i="2" s="1"/>
  <c r="AL35" i="2" s="1"/>
  <c r="AE37" i="2"/>
  <c r="AH37" i="2" s="1"/>
  <c r="AL37" i="2" s="1"/>
  <c r="AB37" i="2"/>
  <c r="AH34" i="2" s="1"/>
  <c r="AL34" i="2" s="1"/>
  <c r="Y37" i="2"/>
  <c r="AH31" i="2" s="1"/>
  <c r="AL31" i="2" s="1"/>
  <c r="AK48" i="2"/>
  <c r="AN53" i="2" s="1"/>
  <c r="Q5" i="2"/>
  <c r="R8" i="1"/>
  <c r="R7" i="1"/>
  <c r="R6" i="1"/>
  <c r="E10" i="5" l="1"/>
  <c r="E9" i="5"/>
  <c r="C8" i="5"/>
  <c r="E8" i="5"/>
  <c r="C13" i="5"/>
  <c r="C12" i="5"/>
  <c r="C11" i="5"/>
  <c r="C10" i="5"/>
  <c r="C14" i="5"/>
  <c r="E14" i="5"/>
  <c r="E13" i="5"/>
  <c r="E12" i="5"/>
  <c r="E11" i="5"/>
  <c r="C9" i="5"/>
  <c r="R9" i="1"/>
  <c r="E82" i="4"/>
  <c r="E78" i="4"/>
  <c r="B82" i="4"/>
  <c r="B78" i="4"/>
  <c r="E81" i="4"/>
  <c r="E77" i="4"/>
  <c r="B79" i="4"/>
  <c r="B81" i="4"/>
  <c r="B77" i="4"/>
  <c r="E80" i="4"/>
  <c r="E76" i="4"/>
  <c r="B80" i="4"/>
  <c r="B76" i="4"/>
  <c r="E79" i="4"/>
  <c r="AN52" i="2"/>
  <c r="AN49" i="2"/>
  <c r="AN54" i="2"/>
  <c r="AN50" i="2"/>
  <c r="AH32" i="2"/>
  <c r="AL32" i="2" s="1"/>
  <c r="AN51" i="2"/>
  <c r="AM53" i="2"/>
  <c r="AP53" i="2" s="1"/>
  <c r="AM51" i="2"/>
  <c r="AP51" i="2" s="1"/>
  <c r="B48" i="2"/>
  <c r="V48" i="2"/>
  <c r="Q48" i="2"/>
  <c r="AF48" i="2"/>
  <c r="AA48" i="2"/>
  <c r="L48" i="2"/>
  <c r="G48" i="2"/>
  <c r="B60" i="2"/>
  <c r="B73" i="2"/>
  <c r="B47" i="2"/>
  <c r="AI33" i="2"/>
  <c r="AI36" i="2"/>
  <c r="AI31" i="2"/>
  <c r="AI37" i="2"/>
  <c r="AI34" i="2"/>
  <c r="AI35" i="2"/>
  <c r="AN48" i="2"/>
  <c r="AK49" i="2"/>
  <c r="AM54" i="2"/>
  <c r="AP54" i="2" s="1"/>
  <c r="AM52" i="2"/>
  <c r="AP52" i="2" s="1"/>
  <c r="AM50" i="2"/>
  <c r="AP50" i="2" s="1"/>
  <c r="AM49" i="2"/>
  <c r="AP49" i="2" s="1"/>
  <c r="AM48" i="2"/>
  <c r="AP48" i="2" s="1"/>
  <c r="AI32" i="2" l="1"/>
  <c r="AJ33" i="2" s="1"/>
  <c r="AJ35" i="2"/>
  <c r="AL66" i="2"/>
  <c r="AL65" i="2"/>
  <c r="AL64" i="2"/>
  <c r="AL63" i="2"/>
  <c r="AL62" i="2"/>
  <c r="AL67" i="2"/>
  <c r="B52" i="2"/>
  <c r="AO51" i="2"/>
  <c r="AO52" i="2"/>
  <c r="AO48" i="2"/>
  <c r="AR48" i="2" s="1"/>
  <c r="D52" i="2" s="1"/>
  <c r="AO53" i="2"/>
  <c r="AO50" i="2"/>
  <c r="AO49" i="2"/>
  <c r="AO54" i="2"/>
  <c r="AJ31" i="2" l="1"/>
  <c r="AJ36" i="2"/>
  <c r="AJ32" i="2"/>
  <c r="AJ37" i="2"/>
  <c r="AR50" i="2"/>
  <c r="D54" i="2" s="1"/>
  <c r="AR49" i="2"/>
  <c r="D53" i="2" s="1"/>
  <c r="AR51" i="2"/>
  <c r="D55" i="2" s="1"/>
  <c r="AJ34" i="2"/>
  <c r="AR53" i="2"/>
  <c r="D57" i="2" s="1"/>
  <c r="AR52" i="2"/>
  <c r="D56" i="2" s="1"/>
  <c r="AR54" i="2"/>
  <c r="D58" i="2" s="1"/>
  <c r="AK61" i="2"/>
  <c r="AN65" i="2" s="1"/>
  <c r="G61" i="2" l="1"/>
  <c r="AM62" i="2"/>
  <c r="AP62" i="2" s="1"/>
  <c r="AF61" i="2"/>
  <c r="AM67" i="2"/>
  <c r="AP67" i="2" s="1"/>
  <c r="V61" i="2"/>
  <c r="AM65" i="2"/>
  <c r="AP65" i="2" s="1"/>
  <c r="B61" i="2"/>
  <c r="AM61" i="2"/>
  <c r="AP61" i="2" s="1"/>
  <c r="L61" i="2"/>
  <c r="AM63" i="2"/>
  <c r="AP63" i="2" s="1"/>
  <c r="AA61" i="2"/>
  <c r="AM66" i="2"/>
  <c r="AP66" i="2" s="1"/>
  <c r="Q61" i="2"/>
  <c r="AM64" i="2"/>
  <c r="AP64" i="2" s="1"/>
  <c r="AN64" i="2"/>
  <c r="AN63" i="2"/>
  <c r="AN62" i="2"/>
  <c r="AN66" i="2"/>
  <c r="AN67" i="2"/>
  <c r="AK62" i="2"/>
  <c r="AN61" i="2"/>
  <c r="AO61" i="2" l="1"/>
  <c r="AL78" i="2"/>
  <c r="AL75" i="2"/>
  <c r="AL80" i="2"/>
  <c r="AL77" i="2"/>
  <c r="AL76" i="2"/>
  <c r="AL79" i="2"/>
  <c r="AR67" i="2"/>
  <c r="D71" i="2" s="1"/>
  <c r="AF74" i="2" s="1"/>
  <c r="AR66" i="2"/>
  <c r="D70" i="2" s="1"/>
  <c r="AA74" i="2" s="1"/>
  <c r="AR65" i="2"/>
  <c r="D69" i="2" s="1"/>
  <c r="V74" i="2" s="1"/>
  <c r="B65" i="2"/>
  <c r="AO67" i="2"/>
  <c r="AO64" i="2"/>
  <c r="AO63" i="2"/>
  <c r="AO62" i="2"/>
  <c r="AO66" i="2"/>
  <c r="AO65" i="2"/>
  <c r="AM78" i="2" l="1"/>
  <c r="AP78" i="2" s="1"/>
  <c r="AM79" i="2"/>
  <c r="AP79" i="2" s="1"/>
  <c r="AM80" i="2"/>
  <c r="AP80" i="2" s="1"/>
  <c r="AR61" i="2"/>
  <c r="D65" i="2" s="1"/>
  <c r="B74" i="2" s="1"/>
  <c r="AR64" i="2"/>
  <c r="D68" i="2" s="1"/>
  <c r="Q74" i="2" s="1"/>
  <c r="AR63" i="2"/>
  <c r="D67" i="2" s="1"/>
  <c r="L74" i="2" s="1"/>
  <c r="AK74" i="2"/>
  <c r="AN75" i="2" s="1"/>
  <c r="AR62" i="2"/>
  <c r="D66" i="2" s="1"/>
  <c r="G74" i="2" s="1"/>
  <c r="AM77" i="2" l="1"/>
  <c r="AP77" i="2" s="1"/>
  <c r="AM74" i="2"/>
  <c r="AP74" i="2" s="1"/>
  <c r="AM75" i="2"/>
  <c r="AP75" i="2" s="1"/>
  <c r="AM76" i="2"/>
  <c r="AP76" i="2" s="1"/>
  <c r="AN78" i="2"/>
  <c r="AN79" i="2"/>
  <c r="AK75" i="2"/>
  <c r="AN74" i="2"/>
  <c r="AN80" i="2"/>
  <c r="AN77" i="2"/>
  <c r="AN76" i="2"/>
  <c r="AL93" i="2" l="1"/>
  <c r="AL92" i="2"/>
  <c r="AL91" i="2"/>
  <c r="AL90" i="2"/>
  <c r="AL89" i="2"/>
  <c r="AL88" i="2"/>
  <c r="B78" i="2"/>
  <c r="AO76" i="2"/>
  <c r="AO77" i="2"/>
  <c r="AO74" i="2"/>
  <c r="AO80" i="2"/>
  <c r="AO79" i="2"/>
  <c r="AO78" i="2"/>
  <c r="AO75" i="2"/>
  <c r="AR80" i="2" l="1"/>
  <c r="D84" i="2" s="1"/>
  <c r="AF87" i="2" s="1"/>
  <c r="AR74" i="2"/>
  <c r="D78" i="2" s="1"/>
  <c r="B87" i="2" s="1"/>
  <c r="AR77" i="2"/>
  <c r="D81" i="2" s="1"/>
  <c r="Q87" i="2" s="1"/>
  <c r="AR78" i="2"/>
  <c r="D82" i="2" s="1"/>
  <c r="V87" i="2" s="1"/>
  <c r="AR79" i="2"/>
  <c r="D83" i="2" s="1"/>
  <c r="AA87" i="2" s="1"/>
  <c r="AR76" i="2"/>
  <c r="D80" i="2" s="1"/>
  <c r="L87" i="2" s="1"/>
  <c r="AK87" i="2"/>
  <c r="AR75" i="2"/>
  <c r="D79" i="2" s="1"/>
  <c r="G87" i="2" s="1"/>
  <c r="AN92" i="2" l="1"/>
  <c r="AN100" i="2"/>
  <c r="AM88" i="2"/>
  <c r="AP88" i="2" s="1"/>
  <c r="AM92" i="2"/>
  <c r="AP92" i="2" s="1"/>
  <c r="AM89" i="2"/>
  <c r="AP89" i="2" s="1"/>
  <c r="AM90" i="2"/>
  <c r="AP90" i="2" s="1"/>
  <c r="AM91" i="2"/>
  <c r="AP91" i="2" s="1"/>
  <c r="AM87" i="2"/>
  <c r="AP87" i="2" s="1"/>
  <c r="AM93" i="2"/>
  <c r="AP93" i="2" s="1"/>
  <c r="AN88" i="2"/>
  <c r="AN93" i="2"/>
  <c r="AK88" i="2"/>
  <c r="AN89" i="2"/>
  <c r="AN87" i="2"/>
  <c r="AN90" i="2"/>
  <c r="AN91" i="2"/>
  <c r="AL101" i="2" l="1"/>
  <c r="AL102" i="2"/>
  <c r="AN102" i="2" s="1"/>
  <c r="AO102" i="2" s="1"/>
  <c r="AL104" i="2"/>
  <c r="AN104" i="2" s="1"/>
  <c r="AO104" i="2" s="1"/>
  <c r="AL103" i="2"/>
  <c r="AN103" i="2" s="1"/>
  <c r="AO103" i="2" s="1"/>
  <c r="AL105" i="2"/>
  <c r="AN105" i="2" s="1"/>
  <c r="AO105" i="2" s="1"/>
  <c r="AL106" i="2"/>
  <c r="AN106" i="2" s="1"/>
  <c r="AO106" i="2" s="1"/>
  <c r="AO100" i="2"/>
  <c r="AO91" i="2"/>
  <c r="AO89" i="2"/>
  <c r="B91" i="2"/>
  <c r="AO90" i="2"/>
  <c r="AO92" i="2"/>
  <c r="AO88" i="2"/>
  <c r="AO87" i="2"/>
  <c r="AR101" i="2" s="1"/>
  <c r="D105" i="2" s="1"/>
  <c r="AO93" i="2"/>
  <c r="AR87" i="2" l="1"/>
  <c r="D91" i="2" s="1"/>
  <c r="B100" i="2" s="1"/>
  <c r="AR100" i="2"/>
  <c r="D104" i="2" s="1"/>
  <c r="AR105" i="2"/>
  <c r="D109" i="2" s="1"/>
  <c r="AR106" i="2"/>
  <c r="D110" i="2" s="1"/>
  <c r="AR102" i="2"/>
  <c r="D106" i="2" s="1"/>
  <c r="AR104" i="2"/>
  <c r="D108" i="2" s="1"/>
  <c r="AR103" i="2"/>
  <c r="D107" i="2" s="1"/>
  <c r="AN101" i="2"/>
  <c r="AO101" i="2" s="1"/>
  <c r="AK100" i="2"/>
  <c r="AK101" i="2"/>
  <c r="B104" i="2" s="1"/>
  <c r="AR89" i="2"/>
  <c r="D93" i="2" s="1"/>
  <c r="AR91" i="2"/>
  <c r="D95" i="2" s="1"/>
  <c r="AR90" i="2"/>
  <c r="D94" i="2" s="1"/>
  <c r="AR88" i="2"/>
  <c r="D92" i="2" s="1"/>
  <c r="AR93" i="2"/>
  <c r="D97" i="2" s="1"/>
  <c r="AR92" i="2"/>
  <c r="D96" i="2" s="1"/>
  <c r="AM106" i="2" l="1"/>
  <c r="AP106" i="2" s="1"/>
  <c r="AF100" i="2"/>
  <c r="AM101" i="2"/>
  <c r="AP101" i="2" s="1"/>
  <c r="G100" i="2"/>
  <c r="AM104" i="2"/>
  <c r="AP104" i="2" s="1"/>
  <c r="V100" i="2"/>
  <c r="AM105" i="2"/>
  <c r="AP105" i="2" s="1"/>
  <c r="AA100" i="2"/>
  <c r="AM103" i="2"/>
  <c r="AP103" i="2" s="1"/>
  <c r="Q100" i="2"/>
  <c r="AM102" i="2"/>
  <c r="AP102" i="2" s="1"/>
  <c r="L100" i="2"/>
  <c r="AM100" i="2"/>
  <c r="AP100" i="2" s="1"/>
</calcChain>
</file>

<file path=xl/sharedStrings.xml><?xml version="1.0" encoding="utf-8"?>
<sst xmlns="http://schemas.openxmlformats.org/spreadsheetml/2006/main" count="89" uniqueCount="54">
  <si>
    <t>Criterio 4</t>
  </si>
  <si>
    <t>Criterio 5</t>
  </si>
  <si>
    <t>Nombre</t>
  </si>
  <si>
    <t>Peso</t>
  </si>
  <si>
    <t>1 es la peor puntuación; 7 la mayor puntuación</t>
  </si>
  <si>
    <t>1 es la peor puntuación; 5 la mayor puntuación</t>
  </si>
  <si>
    <t>1 es la peor puntuación; 10 la mayor puntuación</t>
  </si>
  <si>
    <t>Marca 4</t>
  </si>
  <si>
    <t>Marca 5</t>
  </si>
  <si>
    <t>Marca 6</t>
  </si>
  <si>
    <t>Marca 7</t>
  </si>
  <si>
    <t>Resultado</t>
  </si>
  <si>
    <t>Puntuación</t>
  </si>
  <si>
    <t>En cada casilla escribe el nombre de una de las diferentes opciones que vas a comparar (Ej. Marcas de celular)</t>
  </si>
  <si>
    <t>En cada casilla escribe uno de los criterior a evaluar (Ej. Precio, tamaño, diseño, capacidad de memoria, etc.)</t>
  </si>
  <si>
    <t>Selecciona la escala de puntuación que vas a utilizar</t>
  </si>
  <si>
    <t>Asigna el peso porcentual a cada criterio que seleccionaste en el paso anterior, según la importancia que tienen para ti. Recuerda que la sumatoria de todos los pesos debe dar exactamente 100%</t>
  </si>
  <si>
    <t>Según la calificación que diste a cada uno de los criterios a evaluar de cada opción, este es el listado de opciones ordenado de la mejor a la peor</t>
  </si>
  <si>
    <t>Escribe acá la decisión que quieres tomar (Ej. Compra de celular)</t>
  </si>
  <si>
    <t>Selecciona el número de opciones que vas a comparar con la herramienta. Recuerda que deben ser mínimo 3 y máximo 7 opciones a evaluar</t>
  </si>
  <si>
    <t>Selecciona el número de criterios que vas a evaluar para cada una de las opciones. Mínimo 3, máximo 5 criterios</t>
  </si>
  <si>
    <t>Ahora, califica cada uno de los criterios a evaluar para las diferentes opciones</t>
  </si>
  <si>
    <t>Marca 1</t>
  </si>
  <si>
    <t>Marca 2</t>
  </si>
  <si>
    <t>Marca 3</t>
  </si>
  <si>
    <t>Criterio 1</t>
  </si>
  <si>
    <t>Criterio 2</t>
  </si>
  <si>
    <t>Criterio 3</t>
  </si>
  <si>
    <t>Ahora, califica cada uno de los criterios a evaluar para las diferentes opciones. Automáticamente se irán descalificando las opciones menos puntuadas y las que tengan puntuaciones medias o bajas</t>
  </si>
  <si>
    <t>PASO 3 - RESULTADO</t>
  </si>
  <si>
    <t>3. En cada casilla a continuación escribe el nombre de una de las diferentes opciones que vas a comparar (Ej. Marcas de celular)</t>
  </si>
  <si>
    <t>2. En la siguiente casilla selecciona el número de opciones que vas a comparar. Mínimo 3, máximo 7 opciones</t>
  </si>
  <si>
    <t>5. En cada casilla escribe uno de los criterior a evaluar (Ej. Precio, tamaño, diseño, capacidad de memoria, etc.)</t>
  </si>
  <si>
    <t>6. Selecciona la escala de puntuación que vas a utilizar</t>
  </si>
  <si>
    <t>7. Asigna el peso porcentual a cada criterio que seleccionaste en el paso anterior, según la importancia que tienen para ti. Recuerda que la sumatoria de todos los pesos debe dar exactamente 100%</t>
  </si>
  <si>
    <t>8. Ahora, en la siguiente sección, escribe en el recuadro de los números la calificación que le das a cada criterio para las diferentes opciones</t>
  </si>
  <si>
    <t>9. Según la calificación que diste a cada uno de los criterios a evaluar de cada opción, este es el listado de opciones ordenado de la mejor a la peor</t>
  </si>
  <si>
    <t>4. En la siguiente casilla selecciona el número de criterios a evaluar para cada una de las opciones. Mínimo 3, máximo 5 criterios</t>
  </si>
  <si>
    <t>1. Escribe en esta casilla la decisión que quieres tomar (Ej. Compra de celular):</t>
  </si>
  <si>
    <t>Opción</t>
  </si>
  <si>
    <t>COMPRA DE CELULAR</t>
  </si>
  <si>
    <t>MOTOROLA</t>
  </si>
  <si>
    <t>APPLE</t>
  </si>
  <si>
    <t>SAMSUNG</t>
  </si>
  <si>
    <t>NOKIA</t>
  </si>
  <si>
    <t>PRECIO</t>
  </si>
  <si>
    <t>DISEÑO</t>
  </si>
  <si>
    <t>TAMAÑO</t>
  </si>
  <si>
    <t>CAPACIDAD</t>
  </si>
  <si>
    <t>CÁMARA</t>
  </si>
  <si>
    <t>PESO</t>
  </si>
  <si>
    <t>CRITERIO</t>
  </si>
  <si>
    <t>PASO 1 - INFORMACIÓN GENERAL</t>
  </si>
  <si>
    <t>PASO 2 - PUNTUACIÓN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</si>
</sst>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DIN"/>
    </font>
    <font>
      <i/>
      <sz val="11"/>
      <color theme="7" tint="-0.249977111117893"/>
      <name val="DIN"/>
    </font>
    <font>
      <sz val="11"/>
      <color theme="7" tint="-0.249977111117893"/>
      <name val="DIN"/>
    </font>
    <font>
      <sz val="8"/>
      <color theme="1"/>
      <name val="DIN"/>
    </font>
    <font>
      <b/>
      <sz val="11"/>
      <color theme="1"/>
      <name val="DIN"/>
    </font>
    <font>
      <sz val="8"/>
      <color theme="7" tint="-0.249977111117893"/>
      <name val="DIN"/>
    </font>
    <font>
      <i/>
      <sz val="12"/>
      <color theme="1"/>
      <name val="DIN"/>
    </font>
    <font>
      <sz val="18"/>
      <color theme="1"/>
      <name val="DIN"/>
    </font>
    <font>
      <b/>
      <sz val="18"/>
      <color theme="1"/>
      <name val="DIN"/>
    </font>
    <font>
      <sz val="11"/>
      <color theme="0"/>
      <name val="DIN"/>
    </font>
    <font>
      <b/>
      <sz val="11"/>
      <color theme="0"/>
      <name val="DIN"/>
    </font>
    <font>
      <sz val="11"/>
      <color theme="3"/>
      <name val="DIN"/>
    </font>
    <font>
      <sz val="11"/>
      <name val="DIN"/>
    </font>
    <font>
      <i/>
      <sz val="12"/>
      <name val="DIN"/>
    </font>
    <font>
      <b/>
      <sz val="11"/>
      <name val="DIN"/>
    </font>
    <font>
      <sz val="11"/>
      <color rgb="FFE6DBB4"/>
      <name val="DIN"/>
    </font>
    <font>
      <sz val="11"/>
      <color theme="0" tint="-0.14999847407452621"/>
      <name val="DIN"/>
    </font>
    <font>
      <sz val="11"/>
      <color rgb="FFE6EBF6"/>
      <name val="DIN"/>
    </font>
    <font>
      <sz val="11"/>
      <color theme="1"/>
      <name val="Manro"/>
    </font>
    <font>
      <sz val="11"/>
      <color theme="0"/>
      <name val="Manro"/>
    </font>
    <font>
      <sz val="11"/>
      <color rgb="FFE6EBF6"/>
      <name val="Manro"/>
    </font>
    <font>
      <b/>
      <sz val="11"/>
      <name val="Manrope"/>
    </font>
    <font>
      <sz val="11"/>
      <color theme="1"/>
      <name val="Manrope"/>
    </font>
    <font>
      <b/>
      <sz val="24"/>
      <color rgb="FF240048"/>
      <name val="Noto Sans Black"/>
      <family val="2"/>
    </font>
    <font>
      <b/>
      <sz val="11"/>
      <color theme="1"/>
      <name val="Manrope"/>
    </font>
    <font>
      <sz val="9"/>
      <color theme="1"/>
      <name val="Manrope"/>
    </font>
    <font>
      <sz val="11"/>
      <color theme="7" tint="-0.249977111117893"/>
      <name val="Manrope"/>
    </font>
    <font>
      <sz val="11"/>
      <color theme="0"/>
      <name val="Manrope"/>
    </font>
    <font>
      <sz val="11"/>
      <color rgb="FFE6DBB4"/>
      <name val="Manrope"/>
    </font>
    <font>
      <sz val="8"/>
      <color theme="7" tint="-0.249977111117893"/>
      <name val="Manrope"/>
    </font>
    <font>
      <i/>
      <sz val="12"/>
      <color theme="1"/>
      <name val="Manrope"/>
    </font>
    <font>
      <b/>
      <sz val="11"/>
      <color theme="0"/>
      <name val="Manrope"/>
    </font>
    <font>
      <sz val="11"/>
      <color rgb="FFFF0000"/>
      <name val="DIN"/>
    </font>
    <font>
      <sz val="11"/>
      <color rgb="FFFF0000"/>
      <name val="Manro"/>
    </font>
    <font>
      <sz val="11"/>
      <color rgb="FFFF0000"/>
      <name val="Manrope"/>
    </font>
  </fonts>
  <fills count="7">
    <fill>
      <patternFill patternType="none"/>
    </fill>
    <fill>
      <patternFill patternType="gray125"/>
    </fill>
    <fill>
      <patternFill patternType="solid">
        <fgColor rgb="FFE6DB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BF6"/>
        <bgColor indexed="64"/>
      </patternFill>
    </fill>
    <fill>
      <patternFill patternType="solid">
        <fgColor rgb="FFEEE7CA"/>
        <bgColor indexed="64"/>
      </patternFill>
    </fill>
    <fill>
      <patternFill patternType="solid">
        <fgColor rgb="FF240048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9">
    <xf numFmtId="0" fontId="0" fillId="0" borderId="0" xfId="0"/>
    <xf numFmtId="0" fontId="9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9" fontId="3" fillId="0" borderId="13" xfId="1" applyFont="1" applyBorder="1" applyAlignment="1" applyProtection="1">
      <alignment vertical="center"/>
      <protection locked="0" hidden="1"/>
    </xf>
    <xf numFmtId="0" fontId="3" fillId="0" borderId="4" xfId="0" applyFont="1" applyBorder="1" applyAlignment="1" applyProtection="1">
      <alignment vertical="center"/>
      <protection hidden="1"/>
    </xf>
    <xf numFmtId="9" fontId="3" fillId="0" borderId="6" xfId="1" applyFont="1" applyBorder="1" applyAlignment="1" applyProtection="1">
      <alignment vertical="center"/>
      <protection locked="0" hidden="1"/>
    </xf>
    <xf numFmtId="0" fontId="8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165" fontId="12" fillId="0" borderId="0" xfId="2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/>
      <protection locked="0" hidden="1"/>
    </xf>
    <xf numFmtId="9" fontId="3" fillId="0" borderId="0" xfId="1" applyFont="1" applyBorder="1" applyAlignment="1" applyProtection="1">
      <alignment vertical="center"/>
      <protection locked="0" hidden="1"/>
    </xf>
    <xf numFmtId="0" fontId="7" fillId="0" borderId="15" xfId="0" applyFont="1" applyBorder="1" applyAlignment="1" applyProtection="1">
      <alignment horizontal="center" vertical="center"/>
      <protection locked="0" hidden="1"/>
    </xf>
    <xf numFmtId="9" fontId="7" fillId="0" borderId="8" xfId="1" applyFont="1" applyBorder="1" applyAlignment="1" applyProtection="1">
      <alignment vertical="center"/>
      <protection hidden="1"/>
    </xf>
    <xf numFmtId="9" fontId="3" fillId="0" borderId="5" xfId="1" applyFont="1" applyBorder="1" applyAlignment="1" applyProtection="1">
      <alignment vertical="center"/>
      <protection locked="0"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9" fontId="12" fillId="0" borderId="0" xfId="0" applyNumberFormat="1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9" fontId="3" fillId="0" borderId="0" xfId="1" applyFont="1" applyFill="1" applyBorder="1" applyAlignment="1" applyProtection="1">
      <alignment vertical="center"/>
      <protection locked="0" hidden="1"/>
    </xf>
    <xf numFmtId="9" fontId="3" fillId="0" borderId="13" xfId="1" applyFont="1" applyFill="1" applyBorder="1" applyAlignment="1" applyProtection="1">
      <alignment vertical="center"/>
      <protection locked="0" hidden="1"/>
    </xf>
    <xf numFmtId="9" fontId="3" fillId="0" borderId="5" xfId="1" applyFont="1" applyFill="1" applyBorder="1" applyAlignment="1" applyProtection="1">
      <alignment vertical="center"/>
      <protection locked="0" hidden="1"/>
    </xf>
    <xf numFmtId="9" fontId="3" fillId="0" borderId="6" xfId="1" applyFont="1" applyFill="1" applyBorder="1" applyAlignment="1" applyProtection="1">
      <alignment vertical="center"/>
      <protection locked="0" hidden="1"/>
    </xf>
    <xf numFmtId="9" fontId="7" fillId="0" borderId="8" xfId="1" applyFont="1" applyFill="1" applyBorder="1" applyAlignment="1" applyProtection="1">
      <alignment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11" fillId="0" borderId="10" xfId="0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11" fillId="0" borderId="11" xfId="0" applyFont="1" applyBorder="1" applyAlignment="1" applyProtection="1">
      <alignment vertical="center"/>
      <protection hidden="1"/>
    </xf>
    <xf numFmtId="0" fontId="3" fillId="0" borderId="12" xfId="0" applyFont="1" applyBorder="1" applyAlignment="1" applyProtection="1">
      <alignment vertical="center"/>
      <protection hidden="1"/>
    </xf>
    <xf numFmtId="0" fontId="10" fillId="0" borderId="9" xfId="0" applyFont="1" applyBorder="1" applyAlignment="1" applyProtection="1">
      <alignment vertical="center"/>
      <protection hidden="1"/>
    </xf>
    <xf numFmtId="2" fontId="10" fillId="0" borderId="13" xfId="0" applyNumberFormat="1" applyFont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2" fontId="10" fillId="0" borderId="6" xfId="0" applyNumberFormat="1" applyFont="1" applyBorder="1" applyAlignment="1" applyProtection="1">
      <alignment vertical="center"/>
      <protection hidden="1"/>
    </xf>
    <xf numFmtId="0" fontId="3" fillId="2" borderId="16" xfId="0" applyFont="1" applyFill="1" applyBorder="1" applyAlignment="1" applyProtection="1">
      <alignment vertical="center"/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8" fillId="3" borderId="0" xfId="0" applyFont="1" applyFill="1" applyAlignment="1" applyProtection="1">
      <alignment vertical="center"/>
      <protection hidden="1"/>
    </xf>
    <xf numFmtId="0" fontId="12" fillId="3" borderId="0" xfId="0" applyFont="1" applyFill="1" applyAlignment="1" applyProtection="1">
      <alignment vertical="center"/>
      <protection hidden="1"/>
    </xf>
    <xf numFmtId="0" fontId="20" fillId="4" borderId="0" xfId="0" applyFont="1" applyFill="1" applyAlignment="1" applyProtection="1">
      <alignment vertical="center"/>
      <protection hidden="1"/>
    </xf>
    <xf numFmtId="0" fontId="19" fillId="4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21" fillId="3" borderId="0" xfId="0" applyFont="1" applyFill="1" applyAlignment="1" applyProtection="1">
      <alignment vertical="center"/>
      <protection hidden="1"/>
    </xf>
    <xf numFmtId="0" fontId="21" fillId="2" borderId="0" xfId="0" applyFont="1" applyFill="1" applyAlignment="1" applyProtection="1">
      <alignment vertical="center"/>
      <protection hidden="1"/>
    </xf>
    <xf numFmtId="0" fontId="21" fillId="2" borderId="16" xfId="0" applyFont="1" applyFill="1" applyBorder="1" applyAlignment="1" applyProtection="1">
      <alignment vertical="center"/>
      <protection hidden="1"/>
    </xf>
    <xf numFmtId="0" fontId="22" fillId="3" borderId="0" xfId="0" applyFont="1" applyFill="1" applyAlignment="1" applyProtection="1">
      <alignment vertical="center"/>
      <protection hidden="1"/>
    </xf>
    <xf numFmtId="0" fontId="23" fillId="4" borderId="0" xfId="0" applyFont="1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25" fillId="2" borderId="0" xfId="0" applyFont="1" applyFill="1" applyAlignment="1" applyProtection="1">
      <alignment vertical="center"/>
      <protection hidden="1"/>
    </xf>
    <xf numFmtId="0" fontId="29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25" fillId="2" borderId="2" xfId="0" applyFont="1" applyFill="1" applyBorder="1" applyAlignment="1" applyProtection="1">
      <alignment vertical="center"/>
      <protection hidden="1"/>
    </xf>
    <xf numFmtId="0" fontId="31" fillId="2" borderId="0" xfId="0" applyFont="1" applyFill="1" applyAlignment="1" applyProtection="1">
      <alignment vertical="center"/>
      <protection hidden="1"/>
    </xf>
    <xf numFmtId="0" fontId="25" fillId="2" borderId="1" xfId="0" applyFont="1" applyFill="1" applyBorder="1" applyAlignment="1" applyProtection="1">
      <alignment vertical="center"/>
      <protection hidden="1"/>
    </xf>
    <xf numFmtId="0" fontId="25" fillId="2" borderId="9" xfId="0" applyFont="1" applyFill="1" applyBorder="1" applyAlignment="1" applyProtection="1">
      <alignment vertical="center"/>
      <protection hidden="1"/>
    </xf>
    <xf numFmtId="0" fontId="25" fillId="2" borderId="4" xfId="0" applyFont="1" applyFill="1" applyBorder="1" applyAlignment="1" applyProtection="1">
      <alignment vertical="center"/>
      <protection hidden="1"/>
    </xf>
    <xf numFmtId="0" fontId="25" fillId="2" borderId="5" xfId="0" applyFont="1" applyFill="1" applyBorder="1" applyAlignment="1" applyProtection="1">
      <alignment vertical="center"/>
      <protection hidden="1"/>
    </xf>
    <xf numFmtId="0" fontId="32" fillId="2" borderId="0" xfId="0" applyFont="1" applyFill="1" applyAlignment="1" applyProtection="1">
      <alignment vertical="center"/>
      <protection hidden="1"/>
    </xf>
    <xf numFmtId="0" fontId="33" fillId="2" borderId="0" xfId="0" applyFont="1" applyFill="1" applyAlignment="1" applyProtection="1">
      <alignment horizontal="center" vertical="center" wrapText="1"/>
      <protection hidden="1"/>
    </xf>
    <xf numFmtId="0" fontId="24" fillId="2" borderId="0" xfId="0" applyFont="1" applyFill="1" applyAlignment="1" applyProtection="1">
      <alignment vertical="center"/>
      <protection hidden="1"/>
    </xf>
    <xf numFmtId="0" fontId="33" fillId="2" borderId="5" xfId="0" applyFont="1" applyFill="1" applyBorder="1" applyAlignment="1" applyProtection="1">
      <alignment horizontal="center" vertical="center" wrapText="1"/>
      <protection hidden="1"/>
    </xf>
    <xf numFmtId="0" fontId="25" fillId="2" borderId="13" xfId="0" applyFont="1" applyFill="1" applyBorder="1" applyAlignment="1" applyProtection="1">
      <alignment vertical="center"/>
      <protection hidden="1"/>
    </xf>
    <xf numFmtId="0" fontId="25" fillId="2" borderId="6" xfId="0" applyFont="1" applyFill="1" applyBorder="1" applyAlignment="1" applyProtection="1">
      <alignment vertical="center"/>
      <protection hidden="1"/>
    </xf>
    <xf numFmtId="0" fontId="25" fillId="5" borderId="15" xfId="0" applyFont="1" applyFill="1" applyBorder="1" applyAlignment="1" applyProtection="1">
      <alignment horizontal="center" vertical="center"/>
      <protection locked="0" hidden="1"/>
    </xf>
    <xf numFmtId="9" fontId="25" fillId="2" borderId="2" xfId="1" applyFont="1" applyFill="1" applyBorder="1" applyAlignment="1" applyProtection="1">
      <alignment vertical="center"/>
      <protection hidden="1"/>
    </xf>
    <xf numFmtId="9" fontId="25" fillId="2" borderId="0" xfId="1" applyFont="1" applyFill="1" applyBorder="1" applyAlignment="1" applyProtection="1">
      <alignment vertical="center"/>
      <protection hidden="1"/>
    </xf>
    <xf numFmtId="9" fontId="25" fillId="2" borderId="5" xfId="1" applyFont="1" applyFill="1" applyBorder="1" applyAlignment="1" applyProtection="1">
      <alignment vertical="center"/>
      <protection hidden="1"/>
    </xf>
    <xf numFmtId="0" fontId="37" fillId="2" borderId="0" xfId="0" applyFont="1" applyFill="1" applyAlignment="1" applyProtection="1">
      <alignment vertical="center"/>
      <protection hidden="1"/>
    </xf>
    <xf numFmtId="0" fontId="35" fillId="2" borderId="0" xfId="0" applyFont="1" applyFill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26" fillId="2" borderId="0" xfId="0" applyFont="1" applyFill="1" applyAlignment="1" applyProtection="1">
      <alignment horizontal="left" vertical="center"/>
      <protection hidden="1"/>
    </xf>
    <xf numFmtId="0" fontId="26" fillId="2" borderId="16" xfId="0" applyFont="1" applyFill="1" applyBorder="1" applyAlignment="1" applyProtection="1">
      <alignment horizontal="left" vertical="center"/>
      <protection hidden="1"/>
    </xf>
    <xf numFmtId="0" fontId="25" fillId="5" borderId="1" xfId="0" applyFont="1" applyFill="1" applyBorder="1" applyAlignment="1" applyProtection="1">
      <alignment horizontal="left" vertical="center"/>
      <protection locked="0" hidden="1"/>
    </xf>
    <xf numFmtId="0" fontId="25" fillId="5" borderId="2" xfId="0" applyFont="1" applyFill="1" applyBorder="1" applyAlignment="1" applyProtection="1">
      <alignment horizontal="left" vertical="center"/>
      <protection locked="0" hidden="1"/>
    </xf>
    <xf numFmtId="0" fontId="25" fillId="5" borderId="3" xfId="0" applyFont="1" applyFill="1" applyBorder="1" applyAlignment="1" applyProtection="1">
      <alignment horizontal="left" vertical="center"/>
      <protection locked="0" hidden="1"/>
    </xf>
    <xf numFmtId="0" fontId="25" fillId="5" borderId="4" xfId="0" applyFont="1" applyFill="1" applyBorder="1" applyAlignment="1" applyProtection="1">
      <alignment horizontal="left" vertical="center"/>
      <protection locked="0" hidden="1"/>
    </xf>
    <xf numFmtId="0" fontId="25" fillId="5" borderId="5" xfId="0" applyFont="1" applyFill="1" applyBorder="1" applyAlignment="1" applyProtection="1">
      <alignment horizontal="left" vertical="center"/>
      <protection locked="0" hidden="1"/>
    </xf>
    <xf numFmtId="0" fontId="25" fillId="5" borderId="6" xfId="0" applyFont="1" applyFill="1" applyBorder="1" applyAlignment="1" applyProtection="1">
      <alignment horizontal="left" vertical="center"/>
      <protection locked="0" hidden="1"/>
    </xf>
    <xf numFmtId="0" fontId="24" fillId="2" borderId="0" xfId="0" applyFont="1" applyFill="1" applyAlignment="1" applyProtection="1">
      <alignment horizontal="left" vertical="center" wrapText="1"/>
      <protection hidden="1"/>
    </xf>
    <xf numFmtId="0" fontId="24" fillId="2" borderId="13" xfId="0" applyFont="1" applyFill="1" applyBorder="1" applyAlignment="1" applyProtection="1">
      <alignment horizontal="left" vertical="center" wrapText="1"/>
      <protection hidden="1"/>
    </xf>
    <xf numFmtId="0" fontId="28" fillId="5" borderId="10" xfId="0" applyFont="1" applyFill="1" applyBorder="1" applyAlignment="1" applyProtection="1">
      <alignment horizontal="center" vertical="center"/>
      <protection locked="0" hidden="1"/>
    </xf>
    <xf numFmtId="0" fontId="28" fillId="5" borderId="11" xfId="0" applyFont="1" applyFill="1" applyBorder="1" applyAlignment="1" applyProtection="1">
      <alignment horizontal="center" vertical="center"/>
      <protection locked="0" hidden="1"/>
    </xf>
    <xf numFmtId="0" fontId="28" fillId="5" borderId="12" xfId="0" applyFont="1" applyFill="1" applyBorder="1" applyAlignment="1" applyProtection="1">
      <alignment horizontal="center" vertical="center"/>
      <protection locked="0" hidden="1"/>
    </xf>
    <xf numFmtId="0" fontId="25" fillId="5" borderId="1" xfId="0" applyFont="1" applyFill="1" applyBorder="1" applyAlignment="1" applyProtection="1">
      <alignment horizontal="center" vertical="center"/>
      <protection locked="0" hidden="1"/>
    </xf>
    <xf numFmtId="0" fontId="25" fillId="5" borderId="2" xfId="0" applyFont="1" applyFill="1" applyBorder="1" applyAlignment="1" applyProtection="1">
      <alignment horizontal="center" vertical="center"/>
      <protection locked="0" hidden="1"/>
    </xf>
    <xf numFmtId="0" fontId="25" fillId="5" borderId="3" xfId="0" applyFont="1" applyFill="1" applyBorder="1" applyAlignment="1" applyProtection="1">
      <alignment horizontal="center" vertical="center"/>
      <protection locked="0" hidden="1"/>
    </xf>
    <xf numFmtId="0" fontId="25" fillId="5" borderId="4" xfId="0" applyFont="1" applyFill="1" applyBorder="1" applyAlignment="1" applyProtection="1">
      <alignment horizontal="center" vertical="center"/>
      <protection locked="0" hidden="1"/>
    </xf>
    <xf numFmtId="0" fontId="25" fillId="5" borderId="5" xfId="0" applyFont="1" applyFill="1" applyBorder="1" applyAlignment="1" applyProtection="1">
      <alignment horizontal="center" vertical="center"/>
      <protection locked="0" hidden="1"/>
    </xf>
    <xf numFmtId="0" fontId="25" fillId="5" borderId="6" xfId="0" applyFont="1" applyFill="1" applyBorder="1" applyAlignment="1" applyProtection="1">
      <alignment horizontal="center" vertical="center"/>
      <protection locked="0" hidden="1"/>
    </xf>
    <xf numFmtId="9" fontId="25" fillId="5" borderId="9" xfId="1" applyFont="1" applyFill="1" applyBorder="1" applyAlignment="1" applyProtection="1">
      <alignment horizontal="center" vertical="center"/>
      <protection locked="0" hidden="1"/>
    </xf>
    <xf numFmtId="9" fontId="25" fillId="5" borderId="13" xfId="1" applyFont="1" applyFill="1" applyBorder="1" applyAlignment="1" applyProtection="1">
      <alignment horizontal="center" vertical="center"/>
      <protection locked="0" hidden="1"/>
    </xf>
    <xf numFmtId="9" fontId="25" fillId="5" borderId="4" xfId="1" applyFont="1" applyFill="1" applyBorder="1" applyAlignment="1" applyProtection="1">
      <alignment horizontal="center" vertical="center"/>
      <protection locked="0" hidden="1"/>
    </xf>
    <xf numFmtId="9" fontId="25" fillId="5" borderId="6" xfId="1" applyFont="1" applyFill="1" applyBorder="1" applyAlignment="1" applyProtection="1">
      <alignment horizontal="center" vertical="center"/>
      <protection locked="0" hidden="1"/>
    </xf>
    <xf numFmtId="9" fontId="27" fillId="2" borderId="10" xfId="1" applyFont="1" applyFill="1" applyBorder="1" applyAlignment="1" applyProtection="1">
      <alignment horizontal="center" vertical="center"/>
      <protection hidden="1"/>
    </xf>
    <xf numFmtId="9" fontId="27" fillId="2" borderId="12" xfId="1" applyFont="1" applyFill="1" applyBorder="1" applyAlignment="1" applyProtection="1">
      <alignment horizontal="center" vertical="center"/>
      <protection hidden="1"/>
    </xf>
    <xf numFmtId="0" fontId="34" fillId="6" borderId="10" xfId="0" applyFont="1" applyFill="1" applyBorder="1" applyAlignment="1" applyProtection="1">
      <alignment horizontal="center" vertical="center"/>
      <protection hidden="1"/>
    </xf>
    <xf numFmtId="0" fontId="34" fillId="6" borderId="11" xfId="0" applyFont="1" applyFill="1" applyBorder="1" applyAlignment="1" applyProtection="1">
      <alignment horizontal="center" vertical="center"/>
      <protection hidden="1"/>
    </xf>
    <xf numFmtId="0" fontId="34" fillId="6" borderId="12" xfId="0" applyFont="1" applyFill="1" applyBorder="1" applyAlignment="1" applyProtection="1">
      <alignment horizontal="center" vertical="center"/>
      <protection hidden="1"/>
    </xf>
    <xf numFmtId="9" fontId="25" fillId="5" borderId="1" xfId="1" applyFont="1" applyFill="1" applyBorder="1" applyAlignment="1" applyProtection="1">
      <alignment horizontal="center" vertical="center"/>
      <protection locked="0" hidden="1"/>
    </xf>
    <xf numFmtId="9" fontId="25" fillId="5" borderId="3" xfId="1" applyFont="1" applyFill="1" applyBorder="1" applyAlignment="1" applyProtection="1">
      <alignment horizontal="center" vertical="center"/>
      <protection locked="0" hidden="1"/>
    </xf>
    <xf numFmtId="0" fontId="25" fillId="2" borderId="1" xfId="0" applyFont="1" applyFill="1" applyBorder="1" applyAlignment="1" applyProtection="1">
      <alignment horizontal="center" vertical="center" wrapText="1"/>
      <protection hidden="1"/>
    </xf>
    <xf numFmtId="0" fontId="25" fillId="2" borderId="2" xfId="0" applyFont="1" applyFill="1" applyBorder="1" applyAlignment="1" applyProtection="1">
      <alignment horizontal="center" vertical="center" wrapText="1"/>
      <protection hidden="1"/>
    </xf>
    <xf numFmtId="0" fontId="25" fillId="2" borderId="3" xfId="0" applyFont="1" applyFill="1" applyBorder="1" applyAlignment="1" applyProtection="1">
      <alignment horizontal="center" vertical="center" wrapText="1"/>
      <protection hidden="1"/>
    </xf>
    <xf numFmtId="0" fontId="25" fillId="2" borderId="9" xfId="0" applyFont="1" applyFill="1" applyBorder="1" applyAlignment="1" applyProtection="1">
      <alignment horizontal="center" vertical="center" wrapText="1"/>
      <protection hidden="1"/>
    </xf>
    <xf numFmtId="0" fontId="25" fillId="2" borderId="0" xfId="0" applyFont="1" applyFill="1" applyAlignment="1" applyProtection="1">
      <alignment horizontal="center" vertical="center" wrapText="1"/>
      <protection hidden="1"/>
    </xf>
    <xf numFmtId="0" fontId="25" fillId="2" borderId="13" xfId="0" applyFont="1" applyFill="1" applyBorder="1" applyAlignment="1" applyProtection="1">
      <alignment horizontal="center" vertical="center" wrapText="1"/>
      <protection hidden="1"/>
    </xf>
    <xf numFmtId="0" fontId="25" fillId="2" borderId="4" xfId="0" applyFont="1" applyFill="1" applyBorder="1" applyAlignment="1" applyProtection="1">
      <alignment horizontal="center" vertical="center" wrapText="1"/>
      <protection hidden="1"/>
    </xf>
    <xf numFmtId="0" fontId="25" fillId="2" borderId="5" xfId="0" applyFont="1" applyFill="1" applyBorder="1" applyAlignment="1" applyProtection="1">
      <alignment horizontal="center" vertical="center" wrapText="1"/>
      <protection hidden="1"/>
    </xf>
    <xf numFmtId="0" fontId="25" fillId="2" borderId="6" xfId="0" applyFont="1" applyFill="1" applyBorder="1" applyAlignment="1" applyProtection="1">
      <alignment horizontal="center" vertical="center" wrapText="1"/>
      <protection hidden="1"/>
    </xf>
    <xf numFmtId="0" fontId="25" fillId="5" borderId="7" xfId="0" applyFont="1" applyFill="1" applyBorder="1" applyAlignment="1" applyProtection="1">
      <alignment horizontal="center" vertical="center"/>
      <protection locked="0" hidden="1"/>
    </xf>
    <xf numFmtId="0" fontId="25" fillId="5" borderId="14" xfId="0" applyFont="1" applyFill="1" applyBorder="1" applyAlignment="1" applyProtection="1">
      <alignment horizontal="center" vertical="center"/>
      <protection locked="0" hidden="1"/>
    </xf>
    <xf numFmtId="0" fontId="25" fillId="5" borderId="8" xfId="0" applyFont="1" applyFill="1" applyBorder="1" applyAlignment="1" applyProtection="1">
      <alignment horizontal="center" vertical="center"/>
      <protection locked="0" hidden="1"/>
    </xf>
    <xf numFmtId="0" fontId="27" fillId="2" borderId="0" xfId="0" applyFont="1" applyFill="1" applyAlignment="1" applyProtection="1">
      <alignment horizontal="left" vertical="center" wrapText="1"/>
      <protection hidden="1"/>
    </xf>
    <xf numFmtId="2" fontId="25" fillId="5" borderId="4" xfId="0" applyNumberFormat="1" applyFont="1" applyFill="1" applyBorder="1" applyAlignment="1" applyProtection="1">
      <alignment horizontal="center" vertical="center"/>
      <protection hidden="1"/>
    </xf>
    <xf numFmtId="2" fontId="25" fillId="5" borderId="6" xfId="0" applyNumberFormat="1" applyFont="1" applyFill="1" applyBorder="1" applyAlignment="1" applyProtection="1">
      <alignment horizontal="center" vertical="center"/>
      <protection hidden="1"/>
    </xf>
    <xf numFmtId="2" fontId="25" fillId="5" borderId="1" xfId="0" applyNumberFormat="1" applyFont="1" applyFill="1" applyBorder="1" applyAlignment="1" applyProtection="1">
      <alignment horizontal="center" vertical="center"/>
      <protection hidden="1"/>
    </xf>
    <xf numFmtId="2" fontId="25" fillId="5" borderId="3" xfId="0" applyNumberFormat="1" applyFont="1" applyFill="1" applyBorder="1" applyAlignment="1" applyProtection="1">
      <alignment horizontal="center" vertical="center"/>
      <protection hidden="1"/>
    </xf>
    <xf numFmtId="2" fontId="25" fillId="5" borderId="9" xfId="0" applyNumberFormat="1" applyFont="1" applyFill="1" applyBorder="1" applyAlignment="1" applyProtection="1">
      <alignment horizontal="center" vertical="center"/>
      <protection hidden="1"/>
    </xf>
    <xf numFmtId="2" fontId="25" fillId="5" borderId="13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0" borderId="2" xfId="0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0" fontId="7" fillId="0" borderId="9" xfId="0" applyFont="1" applyBorder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7" fillId="0" borderId="13" xfId="0" applyFont="1" applyBorder="1" applyAlignment="1" applyProtection="1">
      <alignment horizontal="center" wrapText="1"/>
      <protection hidden="1"/>
    </xf>
    <xf numFmtId="0" fontId="7" fillId="0" borderId="4" xfId="0" applyFont="1" applyBorder="1" applyAlignment="1" applyProtection="1">
      <alignment horizontal="center" wrapText="1"/>
      <protection hidden="1"/>
    </xf>
    <xf numFmtId="0" fontId="7" fillId="0" borderId="5" xfId="0" applyFont="1" applyBorder="1" applyAlignment="1" applyProtection="1">
      <alignment horizontal="center" wrapText="1"/>
      <protection hidden="1"/>
    </xf>
    <xf numFmtId="0" fontId="7" fillId="0" borderId="6" xfId="0" applyFont="1" applyBorder="1" applyAlignment="1" applyProtection="1">
      <alignment horizontal="center" wrapText="1"/>
      <protection hidden="1"/>
    </xf>
    <xf numFmtId="0" fontId="3" fillId="0" borderId="7" xfId="0" applyFont="1" applyBorder="1" applyAlignment="1" applyProtection="1">
      <alignment horizontal="center" vertical="center"/>
      <protection locked="0" hidden="1"/>
    </xf>
    <xf numFmtId="0" fontId="3" fillId="0" borderId="14" xfId="0" applyFont="1" applyBorder="1" applyAlignment="1" applyProtection="1">
      <alignment horizontal="center" vertical="center"/>
      <protection locked="0" hidden="1"/>
    </xf>
    <xf numFmtId="0" fontId="3" fillId="0" borderId="8" xfId="0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3" fillId="0" borderId="3" xfId="0" applyFont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 applyProtection="1">
      <alignment horizontal="center" vertical="center"/>
      <protection locked="0" hidden="1"/>
    </xf>
    <xf numFmtId="0" fontId="3" fillId="0" borderId="5" xfId="0" applyFont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/>
      <protection locked="0" hidden="1"/>
    </xf>
    <xf numFmtId="0" fontId="6" fillId="0" borderId="10" xfId="0" applyFont="1" applyBorder="1" applyAlignment="1" applyProtection="1">
      <alignment horizontal="center" vertical="center"/>
      <protection locked="0" hidden="1"/>
    </xf>
    <xf numFmtId="0" fontId="6" fillId="0" borderId="11" xfId="0" applyFont="1" applyBorder="1" applyAlignment="1" applyProtection="1">
      <alignment horizontal="center" vertical="center"/>
      <protection locked="0" hidden="1"/>
    </xf>
    <xf numFmtId="0" fontId="6" fillId="0" borderId="12" xfId="0" applyFont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</cellXfs>
  <cellStyles count="3">
    <cellStyle name="Millares" xfId="2" builtinId="3"/>
    <cellStyle name="Normal" xfId="0" builtinId="0"/>
    <cellStyle name="Porcentaje" xfId="1" builtinId="5"/>
  </cellStyles>
  <dxfs count="57"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6DBB4"/>
      <color rgb="FFEEE7CA"/>
      <color rgb="FFEAD5FF"/>
      <color rgb="FF240048"/>
      <color rgb="FFE6EBF6"/>
      <color rgb="FFF6F2E2"/>
      <color rgb="FFDACA8E"/>
      <color rgb="FFD3A7FF"/>
      <color rgb="FFBA75FF"/>
      <color rgb="FFDCCD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P2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P1'!A1"/><Relationship Id="rId1" Type="http://schemas.openxmlformats.org/officeDocument/2006/relationships/hyperlink" Target="#'P3'!A1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P2'!A1"/><Relationship Id="rId1" Type="http://schemas.openxmlformats.org/officeDocument/2006/relationships/hyperlink" Target="#'P1'!A1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397374</xdr:colOff>
      <xdr:row>26</xdr:row>
      <xdr:rowOff>61570</xdr:rowOff>
    </xdr:from>
    <xdr:to>
      <xdr:col>17</xdr:col>
      <xdr:colOff>73974</xdr:colOff>
      <xdr:row>31</xdr:row>
      <xdr:rowOff>119170</xdr:rowOff>
    </xdr:to>
    <xdr:sp macro="" textlink="">
      <xdr:nvSpPr>
        <xdr:cNvPr id="2" name="Diagrama de flujo: conecto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3C2822-1327-44AE-B9D0-DF03689BED19}"/>
            </a:ext>
          </a:extLst>
        </xdr:cNvPr>
        <xdr:cNvSpPr>
          <a:spLocks noChangeAspect="1"/>
        </xdr:cNvSpPr>
      </xdr:nvSpPr>
      <xdr:spPr>
        <a:xfrm>
          <a:off x="9417549" y="5528920"/>
          <a:ext cx="972000" cy="972000"/>
        </a:xfrm>
        <a:prstGeom prst="flowChartConnector">
          <a:avLst/>
        </a:prstGeom>
        <a:solidFill>
          <a:srgbClr val="240048"/>
        </a:solidFill>
        <a:ln>
          <a:solidFill>
            <a:srgbClr val="240048">
              <a:alpha val="95000"/>
            </a:srgb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900" b="1">
              <a:latin typeface="Noto Sans Black" panose="020B0A02040504020204" pitchFamily="34" charset="0"/>
              <a:ea typeface="Noto Sans Black" panose="020B0A02040504020204" pitchFamily="34" charset="0"/>
              <a:cs typeface="Noto Sans Black" panose="020B0A02040504020204" pitchFamily="34" charset="0"/>
            </a:rPr>
            <a:t>SIGUIENTE</a:t>
          </a:r>
        </a:p>
      </xdr:txBody>
    </xdr:sp>
    <xdr:clientData/>
  </xdr:twoCellAnchor>
  <xdr:twoCellAnchor editAs="oneCell">
    <xdr:from>
      <xdr:col>14</xdr:col>
      <xdr:colOff>2</xdr:colOff>
      <xdr:row>1</xdr:row>
      <xdr:rowOff>85877</xdr:rowOff>
    </xdr:from>
    <xdr:to>
      <xdr:col>14</xdr:col>
      <xdr:colOff>506825</xdr:colOff>
      <xdr:row>2</xdr:row>
      <xdr:rowOff>267765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6CD9199-F73B-AD66-F5CB-256428886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1919" y="297544"/>
          <a:ext cx="506823" cy="491979"/>
        </a:xfrm>
        <a:prstGeom prst="rect">
          <a:avLst/>
        </a:prstGeom>
      </xdr:spPr>
    </xdr:pic>
    <xdr:clientData/>
  </xdr:twoCellAnchor>
  <xdr:twoCellAnchor editAs="oneCell">
    <xdr:from>
      <xdr:col>15</xdr:col>
      <xdr:colOff>43546</xdr:colOff>
      <xdr:row>1</xdr:row>
      <xdr:rowOff>84354</xdr:rowOff>
    </xdr:from>
    <xdr:to>
      <xdr:col>15</xdr:col>
      <xdr:colOff>550369</xdr:colOff>
      <xdr:row>2</xdr:row>
      <xdr:rowOff>269069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A4C89B00-9D8B-78D0-664E-225FDAF82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1046" y="296021"/>
          <a:ext cx="506823" cy="494806"/>
        </a:xfrm>
        <a:prstGeom prst="rect">
          <a:avLst/>
        </a:prstGeom>
      </xdr:spPr>
    </xdr:pic>
    <xdr:clientData/>
  </xdr:twoCellAnchor>
  <xdr:twoCellAnchor editAs="oneCell">
    <xdr:from>
      <xdr:col>16</xdr:col>
      <xdr:colOff>87090</xdr:colOff>
      <xdr:row>1</xdr:row>
      <xdr:rowOff>83972</xdr:rowOff>
    </xdr:from>
    <xdr:to>
      <xdr:col>16</xdr:col>
      <xdr:colOff>593913</xdr:colOff>
      <xdr:row>2</xdr:row>
      <xdr:rowOff>269394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BC712B0E-AAD0-9D43-F014-5FC72F785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0173" y="295639"/>
          <a:ext cx="506823" cy="495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373156</xdr:colOff>
      <xdr:row>40</xdr:row>
      <xdr:rowOff>273918</xdr:rowOff>
    </xdr:from>
    <xdr:to>
      <xdr:col>36</xdr:col>
      <xdr:colOff>23844</xdr:colOff>
      <xdr:row>40</xdr:row>
      <xdr:rowOff>1281918</xdr:rowOff>
    </xdr:to>
    <xdr:sp macro="" textlink="">
      <xdr:nvSpPr>
        <xdr:cNvPr id="4" name="Elips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9AD8CC-90E8-41FF-9A03-AC91639D31EB}"/>
            </a:ext>
          </a:extLst>
        </xdr:cNvPr>
        <xdr:cNvSpPr/>
      </xdr:nvSpPr>
      <xdr:spPr>
        <a:xfrm>
          <a:off x="13636719" y="8227293"/>
          <a:ext cx="1008000" cy="1008000"/>
        </a:xfrm>
        <a:prstGeom prst="ellipse">
          <a:avLst/>
        </a:prstGeom>
        <a:solidFill>
          <a:srgbClr val="240048"/>
        </a:solidFill>
        <a:ln>
          <a:solidFill>
            <a:srgbClr val="240048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VER RESULTADO</a:t>
          </a:r>
        </a:p>
      </xdr:txBody>
    </xdr:sp>
    <xdr:clientData/>
  </xdr:twoCellAnchor>
  <xdr:twoCellAnchor editAs="oneCell">
    <xdr:from>
      <xdr:col>30</xdr:col>
      <xdr:colOff>268945</xdr:colOff>
      <xdr:row>40</xdr:row>
      <xdr:rowOff>273918</xdr:rowOff>
    </xdr:from>
    <xdr:to>
      <xdr:col>33</xdr:col>
      <xdr:colOff>134471</xdr:colOff>
      <xdr:row>40</xdr:row>
      <xdr:rowOff>1281918</xdr:rowOff>
    </xdr:to>
    <xdr:sp macro="" textlink="">
      <xdr:nvSpPr>
        <xdr:cNvPr id="5" name="Elips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BABE1A-D67F-47B1-976E-960538EC1ACC}"/>
            </a:ext>
          </a:extLst>
        </xdr:cNvPr>
        <xdr:cNvSpPr/>
      </xdr:nvSpPr>
      <xdr:spPr>
        <a:xfrm>
          <a:off x="12404916" y="8039594"/>
          <a:ext cx="1008526" cy="1008000"/>
        </a:xfrm>
        <a:prstGeom prst="ellipse">
          <a:avLst/>
        </a:prstGeom>
        <a:solidFill>
          <a:srgbClr val="D3A7FF"/>
        </a:solidFill>
        <a:ln>
          <a:solidFill>
            <a:srgbClr val="BA75FF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VOLVER A PASO 1</a:t>
          </a:r>
        </a:p>
      </xdr:txBody>
    </xdr:sp>
    <xdr:clientData/>
  </xdr:twoCellAnchor>
  <xdr:twoCellAnchor editAs="oneCell">
    <xdr:from>
      <xdr:col>32</xdr:col>
      <xdr:colOff>11206</xdr:colOff>
      <xdr:row>1</xdr:row>
      <xdr:rowOff>71241</xdr:rowOff>
    </xdr:from>
    <xdr:to>
      <xdr:col>33</xdr:col>
      <xdr:colOff>69794</xdr:colOff>
      <xdr:row>2</xdr:row>
      <xdr:rowOff>253658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B5CFA4-C36B-4B3B-AD0B-DD55D7484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5206" y="285554"/>
          <a:ext cx="511026" cy="491979"/>
        </a:xfrm>
        <a:prstGeom prst="rect">
          <a:avLst/>
        </a:prstGeom>
      </xdr:spPr>
    </xdr:pic>
    <xdr:clientData/>
  </xdr:twoCellAnchor>
  <xdr:twoCellAnchor editAs="oneCell">
    <xdr:from>
      <xdr:col>33</xdr:col>
      <xdr:colOff>217234</xdr:colOff>
      <xdr:row>1</xdr:row>
      <xdr:rowOff>80923</xdr:rowOff>
    </xdr:from>
    <xdr:to>
      <xdr:col>34</xdr:col>
      <xdr:colOff>275821</xdr:colOff>
      <xdr:row>2</xdr:row>
      <xdr:rowOff>266167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0A3CD9-5258-4508-A945-8B4F0C6AA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3672" y="295236"/>
          <a:ext cx="511024" cy="494806"/>
        </a:xfrm>
        <a:prstGeom prst="rect">
          <a:avLst/>
        </a:prstGeom>
      </xdr:spPr>
    </xdr:pic>
    <xdr:clientData/>
  </xdr:twoCellAnchor>
  <xdr:twoCellAnchor editAs="oneCell">
    <xdr:from>
      <xdr:col>34</xdr:col>
      <xdr:colOff>423264</xdr:colOff>
      <xdr:row>1</xdr:row>
      <xdr:rowOff>80541</xdr:rowOff>
    </xdr:from>
    <xdr:to>
      <xdr:col>36</xdr:col>
      <xdr:colOff>33617</xdr:colOff>
      <xdr:row>2</xdr:row>
      <xdr:rowOff>266492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83F3206-D26B-4D66-A092-D3541D67F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2139" y="294854"/>
          <a:ext cx="515228" cy="4955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60028</xdr:colOff>
      <xdr:row>11</xdr:row>
      <xdr:rowOff>145143</xdr:rowOff>
    </xdr:from>
    <xdr:to>
      <xdr:col>14</xdr:col>
      <xdr:colOff>307191</xdr:colOff>
      <xdr:row>15</xdr:row>
      <xdr:rowOff>210368</xdr:rowOff>
    </xdr:to>
    <xdr:sp macro="" textlink="">
      <xdr:nvSpPr>
        <xdr:cNvPr id="5" name="Elips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DE1F1A-59E3-4B14-8422-20753096076D}"/>
            </a:ext>
          </a:extLst>
        </xdr:cNvPr>
        <xdr:cNvSpPr>
          <a:spLocks noChangeAspect="1"/>
        </xdr:cNvSpPr>
      </xdr:nvSpPr>
      <xdr:spPr>
        <a:xfrm>
          <a:off x="9103427" y="2702980"/>
          <a:ext cx="900000" cy="900000"/>
        </a:xfrm>
        <a:prstGeom prst="ellipse">
          <a:avLst/>
        </a:prstGeom>
        <a:solidFill>
          <a:srgbClr val="D3A7FF"/>
        </a:solidFill>
        <a:ln>
          <a:solidFill>
            <a:srgbClr val="BA75FF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US" sz="1000" b="1">
              <a:solidFill>
                <a:schemeClr val="lt1"/>
              </a:solidFill>
              <a:latin typeface="+mn-lt"/>
              <a:ea typeface="+mn-ea"/>
              <a:cs typeface="+mn-cs"/>
            </a:rPr>
            <a:t>VOLVER A PASO 1</a:t>
          </a:r>
        </a:p>
      </xdr:txBody>
    </xdr:sp>
    <xdr:clientData/>
  </xdr:twoCellAnchor>
  <xdr:twoCellAnchor editAs="oneCell">
    <xdr:from>
      <xdr:col>14</xdr:col>
      <xdr:colOff>447701</xdr:colOff>
      <xdr:row>11</xdr:row>
      <xdr:rowOff>145143</xdr:rowOff>
    </xdr:from>
    <xdr:to>
      <xdr:col>16</xdr:col>
      <xdr:colOff>42027</xdr:colOff>
      <xdr:row>15</xdr:row>
      <xdr:rowOff>210368</xdr:rowOff>
    </xdr:to>
    <xdr:sp macro="" textlink="">
      <xdr:nvSpPr>
        <xdr:cNvPr id="6" name="Elips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B6678B-E02E-49C4-8671-F3A998D2C9BE}"/>
            </a:ext>
          </a:extLst>
        </xdr:cNvPr>
        <xdr:cNvSpPr>
          <a:spLocks noChangeAspect="1"/>
        </xdr:cNvSpPr>
      </xdr:nvSpPr>
      <xdr:spPr>
        <a:xfrm>
          <a:off x="10143937" y="2702980"/>
          <a:ext cx="900000" cy="900000"/>
        </a:xfrm>
        <a:prstGeom prst="ellipse">
          <a:avLst/>
        </a:prstGeom>
        <a:solidFill>
          <a:srgbClr val="D3A7FF"/>
        </a:solidFill>
        <a:ln>
          <a:solidFill>
            <a:srgbClr val="BA75FF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lang="en-US" sz="1000" b="1">
              <a:solidFill>
                <a:schemeClr val="lt1"/>
              </a:solidFill>
              <a:latin typeface="+mn-lt"/>
              <a:ea typeface="+mn-ea"/>
              <a:cs typeface="+mn-cs"/>
            </a:rPr>
            <a:t>VOLVER A PASO 2</a:t>
          </a:r>
        </a:p>
      </xdr:txBody>
    </xdr:sp>
    <xdr:clientData/>
  </xdr:twoCellAnchor>
  <xdr:twoCellAnchor editAs="oneCell">
    <xdr:from>
      <xdr:col>13</xdr:col>
      <xdr:colOff>11209</xdr:colOff>
      <xdr:row>1</xdr:row>
      <xdr:rowOff>91555</xdr:rowOff>
    </xdr:from>
    <xdr:to>
      <xdr:col>13</xdr:col>
      <xdr:colOff>518032</xdr:colOff>
      <xdr:row>2</xdr:row>
      <xdr:rowOff>272792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7482D7-D67B-4A6C-9242-F62DAFF8D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268" y="304467"/>
          <a:ext cx="506823" cy="491979"/>
        </a:xfrm>
        <a:prstGeom prst="rect">
          <a:avLst/>
        </a:prstGeom>
      </xdr:spPr>
    </xdr:pic>
    <xdr:clientData/>
  </xdr:twoCellAnchor>
  <xdr:twoCellAnchor editAs="oneCell">
    <xdr:from>
      <xdr:col>14</xdr:col>
      <xdr:colOff>54754</xdr:colOff>
      <xdr:row>1</xdr:row>
      <xdr:rowOff>90032</xdr:rowOff>
    </xdr:from>
    <xdr:to>
      <xdr:col>14</xdr:col>
      <xdr:colOff>561577</xdr:colOff>
      <xdr:row>2</xdr:row>
      <xdr:rowOff>274096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02404A-FB90-4EB3-B3D5-01B870E24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7754" y="302944"/>
          <a:ext cx="506823" cy="494806"/>
        </a:xfrm>
        <a:prstGeom prst="rect">
          <a:avLst/>
        </a:prstGeom>
      </xdr:spPr>
    </xdr:pic>
    <xdr:clientData/>
  </xdr:twoCellAnchor>
  <xdr:twoCellAnchor editAs="oneCell">
    <xdr:from>
      <xdr:col>15</xdr:col>
      <xdr:colOff>98296</xdr:colOff>
      <xdr:row>1</xdr:row>
      <xdr:rowOff>89650</xdr:rowOff>
    </xdr:from>
    <xdr:to>
      <xdr:col>15</xdr:col>
      <xdr:colOff>605119</xdr:colOff>
      <xdr:row>2</xdr:row>
      <xdr:rowOff>274421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F8F7AB2-9E74-404C-8DE8-E1D638577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1237" y="302562"/>
          <a:ext cx="506823" cy="495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70958-C380-4319-899E-CCB0F8286D04}">
  <sheetPr>
    <tabColor rgb="FFE6DBB4"/>
    <pageSetUpPr fitToPage="1"/>
  </sheetPr>
  <dimension ref="A1:AV34"/>
  <sheetViews>
    <sheetView showGridLines="0" tabSelected="1" zoomScaleNormal="100" workbookViewId="0">
      <selection activeCell="P10" sqref="P10"/>
    </sheetView>
  </sheetViews>
  <sheetFormatPr baseColWidth="10" defaultColWidth="0" defaultRowHeight="14" zeroHeight="1"/>
  <cols>
    <col min="1" max="1" width="3.33203125" style="51" customWidth="1"/>
    <col min="2" max="2" width="5.6640625" style="27" customWidth="1"/>
    <col min="3" max="17" width="9.6640625" style="27" customWidth="1"/>
    <col min="18" max="18" width="5.6640625" style="27" customWidth="1"/>
    <col min="19" max="19" width="3.33203125" style="53" customWidth="1"/>
    <col min="20" max="36" width="9.6640625" style="85" hidden="1" customWidth="1"/>
    <col min="37" max="47" width="9.1640625" style="85" hidden="1" customWidth="1"/>
    <col min="48" max="48" width="8.83203125" style="85" hidden="1" customWidth="1"/>
    <col min="49" max="16384" width="8.83203125" style="55" hidden="1"/>
  </cols>
  <sheetData>
    <row r="1" spans="1:48" s="54" customFormat="1" ht="17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3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</row>
    <row r="2" spans="1:48" s="54" customFormat="1" ht="25" customHeight="1">
      <c r="A2" s="51"/>
      <c r="B2" s="27"/>
      <c r="C2" s="87" t="s">
        <v>52</v>
      </c>
      <c r="D2" s="87"/>
      <c r="E2" s="87"/>
      <c r="F2" s="87"/>
      <c r="G2" s="87"/>
      <c r="H2" s="87"/>
      <c r="I2" s="87"/>
      <c r="J2" s="87"/>
      <c r="K2" s="87"/>
      <c r="L2" s="87"/>
      <c r="M2" s="27"/>
      <c r="N2" s="27"/>
      <c r="O2" s="27"/>
      <c r="P2" s="27"/>
      <c r="Q2" s="27"/>
      <c r="R2" s="27"/>
      <c r="S2" s="53"/>
      <c r="T2" s="85"/>
      <c r="U2" s="85">
        <v>3</v>
      </c>
      <c r="V2" s="85" t="s">
        <v>5</v>
      </c>
      <c r="W2" s="85">
        <v>5</v>
      </c>
      <c r="X2" s="85">
        <f>_xlfn.XLOOKUP($I$31,$V$2:$V$4,$W$2:$W$4,,0)</f>
        <v>10</v>
      </c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</row>
    <row r="3" spans="1:48" s="62" customFormat="1" ht="25" customHeight="1">
      <c r="A3" s="58"/>
      <c r="B3" s="59"/>
      <c r="C3" s="88"/>
      <c r="D3" s="88"/>
      <c r="E3" s="88"/>
      <c r="F3" s="88"/>
      <c r="G3" s="88"/>
      <c r="H3" s="88"/>
      <c r="I3" s="88"/>
      <c r="J3" s="88"/>
      <c r="K3" s="88"/>
      <c r="L3" s="88"/>
      <c r="M3" s="60"/>
      <c r="N3" s="60"/>
      <c r="O3" s="60"/>
      <c r="P3" s="60"/>
      <c r="Q3" s="60"/>
      <c r="R3" s="59"/>
      <c r="S3" s="61"/>
      <c r="T3" s="86"/>
      <c r="U3" s="86">
        <v>4</v>
      </c>
      <c r="V3" s="86" t="s">
        <v>4</v>
      </c>
      <c r="W3" s="86">
        <v>7</v>
      </c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</row>
    <row r="4" spans="1:48" s="54" customFormat="1" ht="15" customHeight="1">
      <c r="A4" s="51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53"/>
      <c r="T4" s="85"/>
      <c r="U4" s="85">
        <v>5</v>
      </c>
      <c r="V4" s="85" t="s">
        <v>6</v>
      </c>
      <c r="W4" s="85">
        <v>10</v>
      </c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</row>
    <row r="5" spans="1:48" s="54" customFormat="1" ht="15" thickBot="1">
      <c r="A5" s="51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53"/>
      <c r="T5" s="85"/>
      <c r="U5" s="85">
        <v>6</v>
      </c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</row>
    <row r="6" spans="1:48" s="54" customFormat="1" ht="14.25" customHeight="1">
      <c r="A6" s="51"/>
      <c r="B6" s="27"/>
      <c r="C6" s="95" t="s">
        <v>38</v>
      </c>
      <c r="D6" s="95"/>
      <c r="E6" s="95"/>
      <c r="F6" s="95"/>
      <c r="G6" s="96"/>
      <c r="H6" s="89" t="s">
        <v>40</v>
      </c>
      <c r="I6" s="90"/>
      <c r="J6" s="90"/>
      <c r="K6" s="90"/>
      <c r="L6" s="90"/>
      <c r="M6" s="90"/>
      <c r="N6" s="90"/>
      <c r="O6" s="90"/>
      <c r="P6" s="90"/>
      <c r="Q6" s="91"/>
      <c r="R6" s="50">
        <f>IF($I$31=G6,5,0)</f>
        <v>0</v>
      </c>
      <c r="S6" s="53"/>
      <c r="T6" s="85"/>
      <c r="U6" s="85">
        <v>7</v>
      </c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</row>
    <row r="7" spans="1:48" s="54" customFormat="1" ht="15" customHeight="1" thickBot="1">
      <c r="A7" s="51"/>
      <c r="B7" s="27"/>
      <c r="C7" s="95"/>
      <c r="D7" s="95"/>
      <c r="E7" s="95"/>
      <c r="F7" s="95"/>
      <c r="G7" s="96"/>
      <c r="H7" s="92"/>
      <c r="I7" s="93"/>
      <c r="J7" s="93"/>
      <c r="K7" s="93"/>
      <c r="L7" s="93"/>
      <c r="M7" s="93"/>
      <c r="N7" s="93"/>
      <c r="O7" s="93"/>
      <c r="P7" s="93"/>
      <c r="Q7" s="94"/>
      <c r="R7" s="50">
        <f>IF($I$31=Q7,7,0)</f>
        <v>0</v>
      </c>
      <c r="S7" s="53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</row>
    <row r="8" spans="1:48" s="54" customFormat="1" ht="21.75" customHeight="1" thickBot="1">
      <c r="A8" s="51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50" t="s">
        <v>6</v>
      </c>
      <c r="R8" s="50">
        <f>IF($I$31=Q8,10,0)</f>
        <v>10</v>
      </c>
      <c r="S8" s="53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</row>
    <row r="9" spans="1:48" s="54" customFormat="1" ht="27" customHeight="1" thickBot="1">
      <c r="A9" s="51"/>
      <c r="B9" s="27"/>
      <c r="C9" s="63" t="s">
        <v>31</v>
      </c>
      <c r="D9" s="27"/>
      <c r="E9" s="27"/>
      <c r="F9" s="29"/>
      <c r="G9" s="27"/>
      <c r="H9" s="27"/>
      <c r="I9" s="27"/>
      <c r="J9" s="27"/>
      <c r="K9" s="27"/>
      <c r="L9" s="27"/>
      <c r="M9" s="27"/>
      <c r="N9" s="27"/>
      <c r="O9" s="79">
        <v>7</v>
      </c>
      <c r="P9" s="27"/>
      <c r="Q9" s="27"/>
      <c r="R9" s="50">
        <f>SUM(R6:R8)</f>
        <v>10</v>
      </c>
      <c r="S9" s="53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</row>
    <row r="10" spans="1:48" s="54" customFormat="1" ht="28.5" customHeight="1">
      <c r="A10" s="51"/>
      <c r="B10" s="27"/>
      <c r="C10" s="27"/>
      <c r="D10" s="27"/>
      <c r="E10" s="27"/>
      <c r="F10" s="29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  <c r="R10" s="28"/>
      <c r="S10" s="53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</row>
    <row r="11" spans="1:48" s="54" customFormat="1" ht="14" customHeight="1">
      <c r="A11" s="51"/>
      <c r="B11" s="27"/>
      <c r="C11" s="63" t="s">
        <v>30</v>
      </c>
      <c r="D11" s="27"/>
      <c r="E11" s="27"/>
      <c r="F11" s="29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  <c r="R11" s="28"/>
      <c r="S11" s="53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</row>
    <row r="12" spans="1:48" s="54" customFormat="1" ht="14" customHeight="1" thickBot="1">
      <c r="A12" s="51"/>
      <c r="B12" s="27"/>
      <c r="C12" s="27"/>
      <c r="D12" s="29"/>
      <c r="E12" s="30"/>
      <c r="F12" s="30"/>
      <c r="G12" s="30"/>
      <c r="H12" s="27"/>
      <c r="I12" s="27"/>
      <c r="J12" s="27"/>
      <c r="K12" s="27"/>
      <c r="L12" s="27"/>
      <c r="M12" s="27"/>
      <c r="N12" s="27"/>
      <c r="O12" s="27"/>
      <c r="P12" s="27"/>
      <c r="Q12" s="28"/>
      <c r="R12" s="28"/>
      <c r="S12" s="53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</row>
    <row r="13" spans="1:48" s="54" customFormat="1" ht="14" customHeight="1">
      <c r="A13" s="51"/>
      <c r="B13" s="27"/>
      <c r="C13" s="100" t="s">
        <v>41</v>
      </c>
      <c r="D13" s="101"/>
      <c r="E13" s="102"/>
      <c r="F13" s="27"/>
      <c r="G13" s="100" t="s">
        <v>42</v>
      </c>
      <c r="H13" s="101"/>
      <c r="I13" s="102"/>
      <c r="J13" s="27"/>
      <c r="K13" s="100" t="s">
        <v>43</v>
      </c>
      <c r="L13" s="101"/>
      <c r="M13" s="102"/>
      <c r="N13" s="27"/>
      <c r="O13" s="100" t="s">
        <v>44</v>
      </c>
      <c r="P13" s="101"/>
      <c r="Q13" s="102"/>
      <c r="R13" s="27"/>
      <c r="S13" s="53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</row>
    <row r="14" spans="1:48" s="54" customFormat="1" ht="14" customHeight="1" thickBot="1">
      <c r="A14" s="51"/>
      <c r="B14" s="27"/>
      <c r="C14" s="103"/>
      <c r="D14" s="104"/>
      <c r="E14" s="105"/>
      <c r="F14" s="27"/>
      <c r="G14" s="103"/>
      <c r="H14" s="104"/>
      <c r="I14" s="105"/>
      <c r="J14" s="27"/>
      <c r="K14" s="103"/>
      <c r="L14" s="104"/>
      <c r="M14" s="105"/>
      <c r="N14" s="27"/>
      <c r="O14" s="103"/>
      <c r="P14" s="104"/>
      <c r="Q14" s="105"/>
      <c r="R14" s="27"/>
      <c r="S14" s="53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</row>
    <row r="15" spans="1:48" s="54" customFormat="1" ht="14" customHeight="1" thickBot="1">
      <c r="A15" s="51"/>
      <c r="B15" s="27"/>
      <c r="C15" s="27"/>
      <c r="D15" s="30"/>
      <c r="E15" s="30"/>
      <c r="F15" s="30"/>
      <c r="G15" s="30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53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</row>
    <row r="16" spans="1:48" s="54" customFormat="1" ht="14" customHeight="1">
      <c r="A16" s="51"/>
      <c r="B16" s="27"/>
      <c r="C16" s="100" t="s">
        <v>8</v>
      </c>
      <c r="D16" s="101"/>
      <c r="E16" s="102"/>
      <c r="F16" s="27"/>
      <c r="G16" s="100" t="s">
        <v>9</v>
      </c>
      <c r="H16" s="101"/>
      <c r="I16" s="102"/>
      <c r="J16" s="27"/>
      <c r="K16" s="100" t="s">
        <v>10</v>
      </c>
      <c r="L16" s="101"/>
      <c r="M16" s="102"/>
      <c r="N16" s="27"/>
      <c r="O16" s="27"/>
      <c r="P16" s="27"/>
      <c r="Q16" s="27"/>
      <c r="R16" s="27"/>
      <c r="S16" s="5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</row>
    <row r="17" spans="1:48" s="54" customFormat="1" ht="14" customHeight="1" thickBot="1">
      <c r="A17" s="51"/>
      <c r="B17" s="27"/>
      <c r="C17" s="103"/>
      <c r="D17" s="104"/>
      <c r="E17" s="105"/>
      <c r="F17" s="27"/>
      <c r="G17" s="103"/>
      <c r="H17" s="104"/>
      <c r="I17" s="105"/>
      <c r="J17" s="27"/>
      <c r="K17" s="103"/>
      <c r="L17" s="104"/>
      <c r="M17" s="105"/>
      <c r="N17" s="27"/>
      <c r="O17" s="27"/>
      <c r="P17" s="27"/>
      <c r="Q17" s="27"/>
      <c r="R17" s="27"/>
      <c r="S17" s="53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</row>
    <row r="18" spans="1:48" s="54" customFormat="1" ht="14" customHeight="1">
      <c r="A18" s="51"/>
      <c r="B18" s="27"/>
      <c r="C18" s="27"/>
      <c r="D18" s="30"/>
      <c r="E18" s="30"/>
      <c r="F18" s="30"/>
      <c r="G18" s="30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53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</row>
    <row r="19" spans="1:48" s="54" customFormat="1" ht="25.5" customHeight="1" thickBot="1">
      <c r="A19" s="51"/>
      <c r="B19" s="27"/>
      <c r="C19" s="27"/>
      <c r="D19" s="27"/>
      <c r="E19" s="27"/>
      <c r="F19" s="29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53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</row>
    <row r="20" spans="1:48" s="54" customFormat="1" ht="14" customHeight="1" thickBot="1">
      <c r="A20" s="51"/>
      <c r="B20" s="27"/>
      <c r="C20" s="63" t="s">
        <v>37</v>
      </c>
      <c r="D20" s="27"/>
      <c r="E20" s="27"/>
      <c r="F20" s="29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79">
        <v>5</v>
      </c>
      <c r="R20" s="27"/>
      <c r="S20" s="53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</row>
    <row r="21" spans="1:48" s="54" customFormat="1" ht="14" customHeight="1">
      <c r="A21" s="51"/>
      <c r="B21" s="27"/>
      <c r="C21" s="27"/>
      <c r="D21" s="27"/>
      <c r="E21" s="27"/>
      <c r="F21" s="29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53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</row>
    <row r="22" spans="1:48" s="54" customFormat="1" ht="14" customHeight="1">
      <c r="A22" s="51"/>
      <c r="B22" s="27"/>
      <c r="C22" s="63" t="s">
        <v>32</v>
      </c>
      <c r="D22" s="27"/>
      <c r="E22" s="27"/>
      <c r="F22" s="29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53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</row>
    <row r="23" spans="1:48" s="54" customFormat="1" ht="14" customHeight="1" thickBot="1">
      <c r="A23" s="51"/>
      <c r="B23" s="27"/>
      <c r="C23" s="27"/>
      <c r="D23" s="29"/>
      <c r="E23" s="27"/>
      <c r="F23" s="29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53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</row>
    <row r="24" spans="1:48" s="54" customFormat="1" ht="14" customHeight="1">
      <c r="A24" s="51"/>
      <c r="B24" s="27"/>
      <c r="C24" s="100" t="s">
        <v>45</v>
      </c>
      <c r="D24" s="101"/>
      <c r="E24" s="102"/>
      <c r="F24" s="27"/>
      <c r="G24" s="100" t="s">
        <v>46</v>
      </c>
      <c r="H24" s="101"/>
      <c r="I24" s="102"/>
      <c r="J24" s="27"/>
      <c r="K24" s="100" t="s">
        <v>47</v>
      </c>
      <c r="L24" s="101"/>
      <c r="M24" s="102"/>
      <c r="N24" s="27"/>
      <c r="O24" s="27"/>
      <c r="P24" s="27"/>
      <c r="Q24" s="27"/>
      <c r="R24" s="27"/>
      <c r="S24" s="53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</row>
    <row r="25" spans="1:48" s="54" customFormat="1" ht="14" customHeight="1" thickBot="1">
      <c r="A25" s="51"/>
      <c r="B25" s="27"/>
      <c r="C25" s="103"/>
      <c r="D25" s="104"/>
      <c r="E25" s="105"/>
      <c r="F25" s="27"/>
      <c r="G25" s="103"/>
      <c r="H25" s="104"/>
      <c r="I25" s="105"/>
      <c r="J25" s="27"/>
      <c r="K25" s="103"/>
      <c r="L25" s="104"/>
      <c r="M25" s="105"/>
      <c r="N25" s="27"/>
      <c r="O25" s="27"/>
      <c r="P25" s="27"/>
      <c r="Q25" s="27"/>
      <c r="R25" s="27"/>
      <c r="S25" s="53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</row>
    <row r="26" spans="1:48" s="54" customFormat="1" ht="14" customHeight="1" thickBot="1">
      <c r="A26" s="51"/>
      <c r="B26" s="27"/>
      <c r="C26" s="27"/>
      <c r="D26" s="30"/>
      <c r="E26" s="30"/>
      <c r="F26" s="30"/>
      <c r="G26" s="30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53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</row>
    <row r="27" spans="1:48" s="54" customFormat="1" ht="14" customHeight="1">
      <c r="A27" s="51"/>
      <c r="B27" s="27"/>
      <c r="C27" s="100" t="s">
        <v>48</v>
      </c>
      <c r="D27" s="101"/>
      <c r="E27" s="102"/>
      <c r="F27" s="27"/>
      <c r="G27" s="100" t="s">
        <v>49</v>
      </c>
      <c r="H27" s="101"/>
      <c r="I27" s="102"/>
      <c r="J27" s="27"/>
      <c r="K27" s="27"/>
      <c r="L27" s="27"/>
      <c r="M27" s="27"/>
      <c r="N27" s="27"/>
      <c r="O27" s="27"/>
      <c r="P27" s="27"/>
      <c r="Q27" s="27"/>
      <c r="R27" s="27"/>
      <c r="S27" s="53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</row>
    <row r="28" spans="1:48" s="54" customFormat="1" ht="14" customHeight="1" thickBot="1">
      <c r="A28" s="51"/>
      <c r="B28" s="27"/>
      <c r="C28" s="103"/>
      <c r="D28" s="104"/>
      <c r="E28" s="105"/>
      <c r="F28" s="27"/>
      <c r="G28" s="103"/>
      <c r="H28" s="104"/>
      <c r="I28" s="105"/>
      <c r="J28" s="27"/>
      <c r="K28" s="27"/>
      <c r="L28" s="27"/>
      <c r="M28" s="27"/>
      <c r="N28" s="27"/>
      <c r="O28" s="27"/>
      <c r="P28" s="27"/>
      <c r="Q28" s="27"/>
      <c r="R28" s="27"/>
      <c r="S28" s="53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</row>
    <row r="29" spans="1:48" s="54" customFormat="1" ht="14" customHeight="1">
      <c r="A29" s="51"/>
      <c r="B29" s="27"/>
      <c r="C29" s="27"/>
      <c r="D29" s="27"/>
      <c r="E29" s="27"/>
      <c r="F29" s="29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53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</row>
    <row r="30" spans="1:48" s="54" customFormat="1" ht="14" customHeight="1" thickBot="1">
      <c r="A30" s="51"/>
      <c r="B30" s="27"/>
      <c r="C30" s="27"/>
      <c r="D30" s="27"/>
      <c r="E30" s="27"/>
      <c r="F30" s="29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53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</row>
    <row r="31" spans="1:48" s="54" customFormat="1" ht="18" thickBot="1">
      <c r="A31" s="51"/>
      <c r="B31" s="27"/>
      <c r="C31" s="63" t="s">
        <v>33</v>
      </c>
      <c r="D31" s="27"/>
      <c r="E31" s="27"/>
      <c r="F31" s="27"/>
      <c r="G31" s="27"/>
      <c r="H31" s="27"/>
      <c r="I31" s="97" t="s">
        <v>6</v>
      </c>
      <c r="J31" s="98"/>
      <c r="K31" s="98"/>
      <c r="L31" s="99"/>
      <c r="M31" s="27"/>
      <c r="N31" s="27"/>
      <c r="O31" s="27"/>
      <c r="P31" s="27"/>
      <c r="Q31" s="27"/>
      <c r="R31" s="27"/>
      <c r="S31" s="53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</row>
    <row r="32" spans="1:48" s="54" customFormat="1">
      <c r="A32" s="51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53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</row>
    <row r="33" spans="1:48" s="54" customFormat="1" ht="17.25" customHeight="1">
      <c r="A33" s="51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53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</row>
    <row r="34" spans="1:48" s="54" customFormat="1" ht="17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3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</row>
  </sheetData>
  <mergeCells count="16">
    <mergeCell ref="C2:L3"/>
    <mergeCell ref="H6:Q7"/>
    <mergeCell ref="C6:G7"/>
    <mergeCell ref="I31:L31"/>
    <mergeCell ref="G13:I14"/>
    <mergeCell ref="G27:I28"/>
    <mergeCell ref="C13:E14"/>
    <mergeCell ref="C16:E17"/>
    <mergeCell ref="C24:E25"/>
    <mergeCell ref="C27:E28"/>
    <mergeCell ref="K13:M14"/>
    <mergeCell ref="O13:Q14"/>
    <mergeCell ref="G16:I17"/>
    <mergeCell ref="K16:M17"/>
    <mergeCell ref="G24:I25"/>
    <mergeCell ref="K24:M25"/>
  </mergeCells>
  <phoneticPr fontId="2" type="noConversion"/>
  <conditionalFormatting sqref="C16:E17">
    <cfRule type="expression" dxfId="56" priority="224">
      <formula>$O$9&lt;5</formula>
    </cfRule>
  </conditionalFormatting>
  <conditionalFormatting sqref="C27:E28">
    <cfRule type="expression" dxfId="55" priority="33">
      <formula>$Q$20&lt;4</formula>
    </cfRule>
  </conditionalFormatting>
  <conditionalFormatting sqref="G16:I17">
    <cfRule type="expression" dxfId="54" priority="225">
      <formula>$O$9&lt;6</formula>
    </cfRule>
  </conditionalFormatting>
  <conditionalFormatting sqref="G27:I28">
    <cfRule type="expression" dxfId="53" priority="176">
      <formula>$Q$20&lt;5</formula>
    </cfRule>
  </conditionalFormatting>
  <conditionalFormatting sqref="K13:M14">
    <cfRule type="expression" dxfId="52" priority="226">
      <formula>$O$9&lt;3</formula>
    </cfRule>
  </conditionalFormatting>
  <conditionalFormatting sqref="K16:M17">
    <cfRule type="expression" dxfId="51" priority="227">
      <formula>$O$9&lt;7</formula>
    </cfRule>
  </conditionalFormatting>
  <conditionalFormatting sqref="K24:M25">
    <cfRule type="expression" dxfId="50" priority="178">
      <formula>$Q$20&lt;3</formula>
    </cfRule>
  </conditionalFormatting>
  <conditionalFormatting sqref="O13:Q14">
    <cfRule type="expression" dxfId="49" priority="228">
      <formula>$O$9&lt;4</formula>
    </cfRule>
  </conditionalFormatting>
  <dataValidations count="3">
    <dataValidation type="list" allowBlank="1" showInputMessage="1" showErrorMessage="1" sqref="Q20" xr:uid="{38FAF019-130E-4FE8-A182-E3509517CADA}">
      <formula1>$U$2:$U$4</formula1>
    </dataValidation>
    <dataValidation type="list" allowBlank="1" showInputMessage="1" showErrorMessage="1" sqref="O9" xr:uid="{170EA97D-F0CD-42C1-9E76-EE7DC2B5CB63}">
      <formula1>$U$2:$U$6</formula1>
    </dataValidation>
    <dataValidation type="list" allowBlank="1" showInputMessage="1" showErrorMessage="1" sqref="I31:L31" xr:uid="{64C95DBC-92A3-4274-844A-ABA176DD45D1}">
      <formula1>$V$2:$V$4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40880-BD49-472E-A367-AEC3CBC5B030}">
  <sheetPr>
    <tabColor rgb="FFE6DBB4"/>
  </sheetPr>
  <dimension ref="A1:BC55"/>
  <sheetViews>
    <sheetView showGridLines="0" topLeftCell="A3" zoomScale="85" zoomScaleNormal="85" workbookViewId="0">
      <selection activeCell="L13" sqref="L13"/>
    </sheetView>
  </sheetViews>
  <sheetFormatPr baseColWidth="10" defaultColWidth="0" defaultRowHeight="0" customHeight="1" zeroHeight="1"/>
  <cols>
    <col min="1" max="1" width="3.33203125" style="51" customWidth="1"/>
    <col min="2" max="2" width="5.6640625" style="27" customWidth="1"/>
    <col min="3" max="6" width="6.6640625" style="27" customWidth="1"/>
    <col min="7" max="7" width="3.6640625" style="27" customWidth="1"/>
    <col min="8" max="11" width="6.6640625" style="27" customWidth="1"/>
    <col min="12" max="12" width="3.6640625" style="27" customWidth="1"/>
    <col min="13" max="16" width="6.6640625" style="27" customWidth="1"/>
    <col min="17" max="17" width="3.6640625" style="27" customWidth="1"/>
    <col min="18" max="21" width="6.6640625" style="27" customWidth="1"/>
    <col min="22" max="22" width="3.6640625" style="27" customWidth="1"/>
    <col min="23" max="26" width="6.6640625" style="27" customWidth="1"/>
    <col min="27" max="27" width="3.6640625" style="27" customWidth="1"/>
    <col min="28" max="31" width="6.6640625" style="27" customWidth="1"/>
    <col min="32" max="32" width="3.6640625" style="27" customWidth="1"/>
    <col min="33" max="36" width="6.6640625" style="27" customWidth="1"/>
    <col min="37" max="37" width="5.6640625" style="27" customWidth="1"/>
    <col min="38" max="39" width="5.6640625" style="27" hidden="1" customWidth="1"/>
    <col min="40" max="40" width="3.33203125" style="51" customWidth="1"/>
    <col min="41" max="55" width="0" style="27" hidden="1" customWidth="1"/>
    <col min="56" max="16384" width="8.83203125" style="27" hidden="1"/>
  </cols>
  <sheetData>
    <row r="1" spans="3:40" s="51" customFormat="1" ht="16.5" customHeight="1"/>
    <row r="2" spans="3:40" ht="24.75" customHeight="1">
      <c r="C2" s="87" t="s">
        <v>53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3:40" ht="24.75" customHeight="1"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</row>
    <row r="4" spans="3:40" ht="15" customHeight="1">
      <c r="F4" s="29"/>
    </row>
    <row r="5" spans="3:40" ht="29.25" customHeight="1" thickBot="1">
      <c r="C5" s="63" t="s">
        <v>34</v>
      </c>
      <c r="D5" s="64"/>
      <c r="E5" s="65"/>
      <c r="F5" s="64"/>
      <c r="G5" s="64"/>
      <c r="H5" s="64"/>
      <c r="I5" s="64"/>
      <c r="J5" s="64"/>
      <c r="K5" s="64"/>
      <c r="L5" s="64"/>
      <c r="M5" s="64"/>
      <c r="N5" s="64"/>
      <c r="O5" s="64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</row>
    <row r="6" spans="3:40" ht="18.75" customHeight="1" thickBot="1">
      <c r="C6" s="112" t="s">
        <v>51</v>
      </c>
      <c r="D6" s="113"/>
      <c r="E6" s="113"/>
      <c r="F6" s="114"/>
      <c r="G6" s="112" t="s">
        <v>50</v>
      </c>
      <c r="H6" s="114"/>
      <c r="I6" s="68"/>
      <c r="J6" s="68"/>
      <c r="K6" s="68"/>
      <c r="L6" s="68"/>
      <c r="M6" s="68"/>
      <c r="N6" s="68"/>
      <c r="O6" s="68"/>
      <c r="P6" s="68" t="str">
        <f>'P1'!C13</f>
        <v>MOTOROLA</v>
      </c>
      <c r="Q6" s="68" t="str">
        <f>'P1'!G13</f>
        <v>APPLE</v>
      </c>
      <c r="R6" s="68" t="str">
        <f>'P1'!K13</f>
        <v>SAMSUNG</v>
      </c>
      <c r="S6" s="68" t="str">
        <f>'P1'!O13</f>
        <v>NOKIA</v>
      </c>
      <c r="T6" s="68" t="str">
        <f>'P1'!C16</f>
        <v>Marca 5</v>
      </c>
      <c r="U6" s="68" t="str">
        <f>'P1'!G16</f>
        <v>Marca 6</v>
      </c>
      <c r="V6" s="68" t="str">
        <f>'P1'!K16</f>
        <v>Marca 7</v>
      </c>
      <c r="W6" s="68"/>
      <c r="X6" s="68"/>
      <c r="Y6" s="68"/>
      <c r="Z6" s="68" t="str">
        <f t="shared" ref="Z6:AF6" si="0">P6</f>
        <v>MOTOROLA</v>
      </c>
      <c r="AA6" s="68" t="str">
        <f t="shared" si="0"/>
        <v>APPLE</v>
      </c>
      <c r="AB6" s="68" t="str">
        <f t="shared" si="0"/>
        <v>SAMSUNG</v>
      </c>
      <c r="AC6" s="68" t="str">
        <f t="shared" si="0"/>
        <v>NOKIA</v>
      </c>
      <c r="AD6" s="68" t="str">
        <f t="shared" si="0"/>
        <v>Marca 5</v>
      </c>
      <c r="AE6" s="68" t="str">
        <f t="shared" si="0"/>
        <v>Marca 6</v>
      </c>
      <c r="AF6" s="68" t="str">
        <f t="shared" si="0"/>
        <v>Marca 7</v>
      </c>
      <c r="AG6" s="68"/>
      <c r="AH6" s="68" t="str">
        <f>$Z$6</f>
        <v>MOTOROLA</v>
      </c>
      <c r="AI6" s="68">
        <f>$Z$12</f>
        <v>0</v>
      </c>
      <c r="AJ6" s="68">
        <f>AI6+0.000000007</f>
        <v>6.9999999999999998E-9</v>
      </c>
      <c r="AK6" s="68">
        <f>RANK(AJ6,$AJ$6:$AJ$12)</f>
        <v>1</v>
      </c>
      <c r="AL6" s="68" t="str">
        <f t="shared" ref="AL6:AM8" si="1">AH6</f>
        <v>MOTOROLA</v>
      </c>
      <c r="AM6" s="68">
        <f t="shared" si="1"/>
        <v>0</v>
      </c>
      <c r="AN6" s="52"/>
    </row>
    <row r="7" spans="3:40" ht="17">
      <c r="C7" s="69" t="str">
        <f>'P1'!C$24</f>
        <v>PRECIO</v>
      </c>
      <c r="D7" s="80"/>
      <c r="E7" s="67"/>
      <c r="F7" s="67"/>
      <c r="G7" s="115">
        <v>0.2</v>
      </c>
      <c r="H7" s="116"/>
      <c r="I7" s="68"/>
      <c r="J7" s="68"/>
      <c r="K7" s="68"/>
      <c r="L7" s="68"/>
      <c r="M7" s="68"/>
      <c r="N7" s="68"/>
      <c r="O7" s="68"/>
      <c r="P7" s="68">
        <f>F18</f>
        <v>0</v>
      </c>
      <c r="Q7" s="68">
        <f>K18</f>
        <v>0</v>
      </c>
      <c r="R7" s="68">
        <f>P18</f>
        <v>0</v>
      </c>
      <c r="S7" s="68">
        <f>IF('P1'!$O$9&lt;4,0,U18)</f>
        <v>0</v>
      </c>
      <c r="T7" s="68">
        <f>IF('P1'!$O$9&lt;5,0,Z18)</f>
        <v>0</v>
      </c>
      <c r="U7" s="68">
        <f>IF('P1'!$O$9&lt;6,0,AE18)</f>
        <v>0</v>
      </c>
      <c r="V7" s="68">
        <f>IF('P1'!$O$9&lt;7,0,AJ18)</f>
        <v>0</v>
      </c>
      <c r="W7" s="68"/>
      <c r="X7" s="68"/>
      <c r="Y7" s="68"/>
      <c r="Z7" s="68">
        <f t="shared" ref="Z7:AF11" si="2">P7*$G7</f>
        <v>0</v>
      </c>
      <c r="AA7" s="68">
        <f t="shared" si="2"/>
        <v>0</v>
      </c>
      <c r="AB7" s="68">
        <f t="shared" si="2"/>
        <v>0</v>
      </c>
      <c r="AC7" s="68">
        <f t="shared" si="2"/>
        <v>0</v>
      </c>
      <c r="AD7" s="68">
        <f t="shared" si="2"/>
        <v>0</v>
      </c>
      <c r="AE7" s="68">
        <f t="shared" si="2"/>
        <v>0</v>
      </c>
      <c r="AF7" s="68">
        <f t="shared" si="2"/>
        <v>0</v>
      </c>
      <c r="AG7" s="68"/>
      <c r="AH7" s="68" t="str">
        <f>$AA$6</f>
        <v>APPLE</v>
      </c>
      <c r="AI7" s="68">
        <f>$AA$12</f>
        <v>0</v>
      </c>
      <c r="AJ7" s="68">
        <f>AI7+0.000000006</f>
        <v>6E-9</v>
      </c>
      <c r="AK7" s="68">
        <f t="shared" ref="AK7:AK12" si="3">RANK(AJ7,$AJ$6:$AJ$12)</f>
        <v>2</v>
      </c>
      <c r="AL7" s="68" t="str">
        <f t="shared" si="1"/>
        <v>APPLE</v>
      </c>
      <c r="AM7" s="68">
        <f t="shared" si="1"/>
        <v>0</v>
      </c>
      <c r="AN7" s="52"/>
    </row>
    <row r="8" spans="3:40" ht="17">
      <c r="C8" s="70" t="str">
        <f>'P1'!G$24</f>
        <v>DISEÑO</v>
      </c>
      <c r="D8" s="81"/>
      <c r="E8" s="64"/>
      <c r="F8" s="64"/>
      <c r="G8" s="106">
        <v>0.1</v>
      </c>
      <c r="H8" s="107"/>
      <c r="I8" s="68"/>
      <c r="J8" s="68"/>
      <c r="K8" s="68"/>
      <c r="L8" s="68"/>
      <c r="M8" s="68"/>
      <c r="N8" s="68"/>
      <c r="O8" s="68"/>
      <c r="P8" s="68">
        <f>F23</f>
        <v>0</v>
      </c>
      <c r="Q8" s="68">
        <f>K23</f>
        <v>0</v>
      </c>
      <c r="R8" s="68">
        <f>P23</f>
        <v>0</v>
      </c>
      <c r="S8" s="68">
        <f>IF('P1'!$O$9&lt;4,0,U23)</f>
        <v>0</v>
      </c>
      <c r="T8" s="68">
        <f>IF('P1'!$O$9&lt;5,0,Z23)</f>
        <v>0</v>
      </c>
      <c r="U8" s="68">
        <f>IF('P1'!$O$9&lt;6,0,AE23)</f>
        <v>0</v>
      </c>
      <c r="V8" s="68">
        <f>IF('P1'!$O$9&lt;7,0,AJ23)</f>
        <v>0</v>
      </c>
      <c r="W8" s="68"/>
      <c r="X8" s="68"/>
      <c r="Y8" s="68"/>
      <c r="Z8" s="68">
        <f t="shared" si="2"/>
        <v>0</v>
      </c>
      <c r="AA8" s="68">
        <f t="shared" si="2"/>
        <v>0</v>
      </c>
      <c r="AB8" s="68">
        <f t="shared" si="2"/>
        <v>0</v>
      </c>
      <c r="AC8" s="68">
        <f t="shared" si="2"/>
        <v>0</v>
      </c>
      <c r="AD8" s="68">
        <f t="shared" si="2"/>
        <v>0</v>
      </c>
      <c r="AE8" s="68">
        <f t="shared" si="2"/>
        <v>0</v>
      </c>
      <c r="AF8" s="68">
        <f t="shared" si="2"/>
        <v>0</v>
      </c>
      <c r="AG8" s="68"/>
      <c r="AH8" s="68" t="str">
        <f>$AB$6</f>
        <v>SAMSUNG</v>
      </c>
      <c r="AI8" s="68">
        <f>$AB$12</f>
        <v>0</v>
      </c>
      <c r="AJ8" s="68">
        <f>AI8+0.000000005</f>
        <v>5.0000000000000001E-9</v>
      </c>
      <c r="AK8" s="68">
        <f t="shared" si="3"/>
        <v>3</v>
      </c>
      <c r="AL8" s="68" t="str">
        <f t="shared" si="1"/>
        <v>SAMSUNG</v>
      </c>
      <c r="AM8" s="68">
        <f t="shared" si="1"/>
        <v>0</v>
      </c>
      <c r="AN8" s="52"/>
    </row>
    <row r="9" spans="3:40" ht="17">
      <c r="C9" s="70" t="str">
        <f>'P1'!K$24</f>
        <v>TAMAÑO</v>
      </c>
      <c r="D9" s="81"/>
      <c r="E9" s="64"/>
      <c r="F9" s="64"/>
      <c r="G9" s="106">
        <v>0.1</v>
      </c>
      <c r="H9" s="107"/>
      <c r="I9" s="68"/>
      <c r="J9" s="68"/>
      <c r="K9" s="68"/>
      <c r="L9" s="68"/>
      <c r="M9" s="68"/>
      <c r="N9" s="68"/>
      <c r="O9" s="68"/>
      <c r="P9" s="68">
        <f>F28</f>
        <v>0</v>
      </c>
      <c r="Q9" s="68">
        <f>K28</f>
        <v>0</v>
      </c>
      <c r="R9" s="68">
        <f>P28</f>
        <v>0</v>
      </c>
      <c r="S9" s="68">
        <f>IF('P1'!$O$9&lt;4,0,U28)</f>
        <v>0</v>
      </c>
      <c r="T9" s="68">
        <f>IF('P1'!$O$9&lt;5,0,Z28)</f>
        <v>0</v>
      </c>
      <c r="U9" s="68">
        <f>IF('P1'!$O$9&lt;6,0,AE28)</f>
        <v>0</v>
      </c>
      <c r="V9" s="68">
        <f>IF('P1'!$O$9&lt;7,0,AJ28)</f>
        <v>0</v>
      </c>
      <c r="W9" s="68"/>
      <c r="X9" s="68"/>
      <c r="Y9" s="68"/>
      <c r="Z9" s="68">
        <f t="shared" si="2"/>
        <v>0</v>
      </c>
      <c r="AA9" s="68">
        <f t="shared" si="2"/>
        <v>0</v>
      </c>
      <c r="AB9" s="68">
        <f t="shared" si="2"/>
        <v>0</v>
      </c>
      <c r="AC9" s="68">
        <f t="shared" si="2"/>
        <v>0</v>
      </c>
      <c r="AD9" s="68">
        <f t="shared" si="2"/>
        <v>0</v>
      </c>
      <c r="AE9" s="68">
        <f t="shared" si="2"/>
        <v>0</v>
      </c>
      <c r="AF9" s="68">
        <f t="shared" si="2"/>
        <v>0</v>
      </c>
      <c r="AG9" s="68"/>
      <c r="AH9" s="68" t="str">
        <f>$AC$6</f>
        <v>NOKIA</v>
      </c>
      <c r="AI9" s="68">
        <f>$AC$12</f>
        <v>0</v>
      </c>
      <c r="AJ9" s="68">
        <f>AI9+0.000000004</f>
        <v>4.0000000000000002E-9</v>
      </c>
      <c r="AK9" s="68">
        <f t="shared" si="3"/>
        <v>4</v>
      </c>
      <c r="AL9" s="68" t="str">
        <f t="shared" ref="AL9:AL12" si="4">AH9</f>
        <v>NOKIA</v>
      </c>
      <c r="AM9" s="68">
        <f>AI9</f>
        <v>0</v>
      </c>
      <c r="AN9" s="52"/>
    </row>
    <row r="10" spans="3:40" ht="17">
      <c r="C10" s="70" t="str">
        <f>IF('P1'!$Q$20&lt;4," ",'P1'!C$27)</f>
        <v>CAPACIDAD</v>
      </c>
      <c r="D10" s="81"/>
      <c r="E10" s="64"/>
      <c r="F10" s="64"/>
      <c r="G10" s="106">
        <v>0.2</v>
      </c>
      <c r="H10" s="107"/>
      <c r="I10" s="68"/>
      <c r="J10" s="68"/>
      <c r="K10" s="68"/>
      <c r="L10" s="68"/>
      <c r="M10" s="68"/>
      <c r="N10" s="68"/>
      <c r="O10" s="68"/>
      <c r="P10" s="68">
        <f>IF('P1'!$Q$20&lt;4,0,F33)</f>
        <v>0</v>
      </c>
      <c r="Q10" s="68">
        <f>IF('P1'!$Q$20&lt;4,0,K33)</f>
        <v>0</v>
      </c>
      <c r="R10" s="68">
        <f>IF('P1'!$Q$20&lt;4,0,P33)</f>
        <v>0</v>
      </c>
      <c r="S10" s="68">
        <f>IF(OR('P1'!$O$9&lt;4,'P1'!$Q$20&lt;4),0,U33)</f>
        <v>0</v>
      </c>
      <c r="T10" s="68">
        <f>IF(OR('P1'!$O$9&lt;5,'P1'!$Q$20&lt;4),0,Z33)</f>
        <v>0</v>
      </c>
      <c r="U10" s="68">
        <f>IF(OR('P1'!$O$9&lt;6,'P1'!$Q$20&lt;4),0,AE33)</f>
        <v>0</v>
      </c>
      <c r="V10" s="68">
        <f>IF(OR('P1'!$O$9&lt;7,'P1'!$Q$20&lt;4),0,AJ33)</f>
        <v>0</v>
      </c>
      <c r="W10" s="68"/>
      <c r="X10" s="68"/>
      <c r="Y10" s="68"/>
      <c r="Z10" s="68">
        <f t="shared" si="2"/>
        <v>0</v>
      </c>
      <c r="AA10" s="68">
        <f t="shared" si="2"/>
        <v>0</v>
      </c>
      <c r="AB10" s="68">
        <f t="shared" si="2"/>
        <v>0</v>
      </c>
      <c r="AC10" s="68">
        <f t="shared" si="2"/>
        <v>0</v>
      </c>
      <c r="AD10" s="68">
        <f t="shared" si="2"/>
        <v>0</v>
      </c>
      <c r="AE10" s="68">
        <f t="shared" si="2"/>
        <v>0</v>
      </c>
      <c r="AF10" s="68">
        <f t="shared" si="2"/>
        <v>0</v>
      </c>
      <c r="AG10" s="68"/>
      <c r="AH10" s="68" t="str">
        <f>$AD$6</f>
        <v>Marca 5</v>
      </c>
      <c r="AI10" s="68">
        <f>$AD$12</f>
        <v>0</v>
      </c>
      <c r="AJ10" s="68">
        <f>AI10+0.000000003</f>
        <v>3E-9</v>
      </c>
      <c r="AK10" s="68">
        <f t="shared" si="3"/>
        <v>5</v>
      </c>
      <c r="AL10" s="68" t="str">
        <f t="shared" si="4"/>
        <v>Marca 5</v>
      </c>
      <c r="AM10" s="68">
        <f>AI10</f>
        <v>0</v>
      </c>
      <c r="AN10" s="52"/>
    </row>
    <row r="11" spans="3:40" ht="18" thickBot="1">
      <c r="C11" s="71" t="str">
        <f>IF('P1'!$Q$20&lt;4," ",'P1'!G$27)</f>
        <v>CÁMARA</v>
      </c>
      <c r="D11" s="82"/>
      <c r="E11" s="72"/>
      <c r="F11" s="72"/>
      <c r="G11" s="108">
        <v>0.4</v>
      </c>
      <c r="H11" s="109"/>
      <c r="I11" s="68"/>
      <c r="J11" s="68"/>
      <c r="K11" s="68"/>
      <c r="L11" s="68"/>
      <c r="M11" s="68"/>
      <c r="N11" s="68"/>
      <c r="O11" s="68"/>
      <c r="P11" s="68">
        <f>IF('P1'!$Q$20&lt;5,0,F38)</f>
        <v>0</v>
      </c>
      <c r="Q11" s="68">
        <f>IF('P1'!$Q$20&lt;5,0,K38)</f>
        <v>0</v>
      </c>
      <c r="R11" s="68">
        <f>IF('P1'!$Q$20&lt;5,0,P38)</f>
        <v>0</v>
      </c>
      <c r="S11" s="68">
        <f>IF(OR('P1'!$O$9&lt;4,'P1'!$Q$20&lt;5),0,U38)</f>
        <v>0</v>
      </c>
      <c r="T11" s="68">
        <f>IF(OR('P1'!$O$9&lt;5,'P1'!$Q$20&lt;5),0,Z38)</f>
        <v>0</v>
      </c>
      <c r="U11" s="68">
        <f>IF(OR('P1'!$O$9&lt;6,'P1'!$Q$20&lt;5),0,AE38)</f>
        <v>0</v>
      </c>
      <c r="V11" s="68">
        <f>IF(OR('P1'!$O$9&lt;7,'P1'!$Q$20&lt;5),0,AJ38)</f>
        <v>0</v>
      </c>
      <c r="W11" s="68"/>
      <c r="X11" s="68"/>
      <c r="Y11" s="68"/>
      <c r="Z11" s="68">
        <f t="shared" si="2"/>
        <v>0</v>
      </c>
      <c r="AA11" s="68">
        <f t="shared" si="2"/>
        <v>0</v>
      </c>
      <c r="AB11" s="68">
        <f t="shared" si="2"/>
        <v>0</v>
      </c>
      <c r="AC11" s="68">
        <f t="shared" si="2"/>
        <v>0</v>
      </c>
      <c r="AD11" s="68">
        <f t="shared" si="2"/>
        <v>0</v>
      </c>
      <c r="AE11" s="68">
        <f t="shared" si="2"/>
        <v>0</v>
      </c>
      <c r="AF11" s="68">
        <f t="shared" si="2"/>
        <v>0</v>
      </c>
      <c r="AG11" s="68"/>
      <c r="AH11" s="68" t="str">
        <f>$AE$6</f>
        <v>Marca 6</v>
      </c>
      <c r="AI11" s="68">
        <f>$AE$12</f>
        <v>0</v>
      </c>
      <c r="AJ11" s="68">
        <f>AI11+0.000000002</f>
        <v>2.0000000000000001E-9</v>
      </c>
      <c r="AK11" s="68">
        <f t="shared" si="3"/>
        <v>6</v>
      </c>
      <c r="AL11" s="68" t="str">
        <f t="shared" si="4"/>
        <v>Marca 6</v>
      </c>
      <c r="AM11" s="68">
        <f>AI11</f>
        <v>0</v>
      </c>
      <c r="AN11" s="52"/>
    </row>
    <row r="12" spans="3:40" ht="18" thickBot="1">
      <c r="C12" s="73"/>
      <c r="D12" s="64"/>
      <c r="E12" s="64"/>
      <c r="F12" s="64"/>
      <c r="G12" s="110">
        <f>SUM(G7:H11)</f>
        <v>1</v>
      </c>
      <c r="H12" s="111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>
        <f>SUM(Z7:Z11)</f>
        <v>0</v>
      </c>
      <c r="AA12" s="68">
        <f t="shared" ref="AA12:AF12" si="5">SUM(AA7:AA11)</f>
        <v>0</v>
      </c>
      <c r="AB12" s="68">
        <f t="shared" si="5"/>
        <v>0</v>
      </c>
      <c r="AC12" s="68">
        <f t="shared" si="5"/>
        <v>0</v>
      </c>
      <c r="AD12" s="68">
        <f t="shared" si="5"/>
        <v>0</v>
      </c>
      <c r="AE12" s="68">
        <f t="shared" si="5"/>
        <v>0</v>
      </c>
      <c r="AF12" s="68">
        <f t="shared" si="5"/>
        <v>0</v>
      </c>
      <c r="AG12" s="68"/>
      <c r="AH12" s="68" t="str">
        <f>$AF$6</f>
        <v>Marca 7</v>
      </c>
      <c r="AI12" s="68">
        <f>$AF$12</f>
        <v>0</v>
      </c>
      <c r="AJ12" s="68">
        <f>AI12+0.000000001</f>
        <v>1.0000000000000001E-9</v>
      </c>
      <c r="AK12" s="68">
        <f t="shared" si="3"/>
        <v>7</v>
      </c>
      <c r="AL12" s="68" t="str">
        <f t="shared" si="4"/>
        <v>Marca 7</v>
      </c>
      <c r="AM12" s="68">
        <f>AI12</f>
        <v>0</v>
      </c>
      <c r="AN12" s="52"/>
    </row>
    <row r="13" spans="3:40" ht="17">
      <c r="C13" s="64"/>
      <c r="D13" s="64"/>
      <c r="E13" s="64"/>
      <c r="F13" s="64"/>
      <c r="G13" s="64"/>
      <c r="H13" s="64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</row>
    <row r="14" spans="3:40" ht="21" customHeight="1">
      <c r="C14" s="75" t="s">
        <v>35</v>
      </c>
      <c r="D14" s="64"/>
      <c r="E14" s="64"/>
      <c r="F14" s="64"/>
      <c r="G14" s="64"/>
      <c r="H14" s="64"/>
      <c r="I14" s="64"/>
      <c r="J14" s="74"/>
      <c r="K14" s="74"/>
      <c r="L14" s="74"/>
      <c r="M14" s="74"/>
      <c r="N14" s="7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83"/>
      <c r="AD14" s="83"/>
      <c r="AE14" s="83"/>
      <c r="AF14" s="83"/>
      <c r="AG14" s="83"/>
      <c r="AH14" s="83"/>
      <c r="AI14" s="83"/>
      <c r="AJ14" s="83"/>
      <c r="AK14" s="84"/>
      <c r="AL14" s="84"/>
      <c r="AM14" s="84"/>
    </row>
    <row r="15" spans="3:40" ht="14" customHeight="1">
      <c r="C15" s="129" t="str">
        <f>'P1'!I31</f>
        <v>1 es la peor puntuación; 10 la mayor puntuación</v>
      </c>
      <c r="D15" s="129"/>
      <c r="E15" s="129"/>
      <c r="F15" s="129"/>
      <c r="G15" s="129"/>
      <c r="H15" s="129"/>
      <c r="I15" s="64"/>
      <c r="J15" s="74"/>
      <c r="K15" s="74"/>
      <c r="L15" s="74"/>
      <c r="M15" s="74"/>
      <c r="N15" s="7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</row>
    <row r="16" spans="3:40" ht="14" hidden="1" customHeight="1">
      <c r="C16" s="65"/>
      <c r="D16" s="64"/>
      <c r="E16" s="64"/>
      <c r="F16" s="64"/>
      <c r="G16" s="64"/>
      <c r="H16" s="64"/>
      <c r="I16" s="64"/>
      <c r="J16" s="74"/>
      <c r="K16" s="74"/>
      <c r="L16" s="74"/>
      <c r="M16" s="74"/>
      <c r="N16" s="7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</row>
    <row r="17" spans="3:36" ht="14.5" customHeight="1" thickBot="1">
      <c r="C17" s="64"/>
      <c r="D17" s="64"/>
      <c r="E17" s="64"/>
      <c r="F17" s="64"/>
      <c r="G17" s="64"/>
      <c r="H17" s="64"/>
      <c r="I17" s="64"/>
      <c r="J17" s="76"/>
      <c r="K17" s="74"/>
      <c r="L17" s="74"/>
      <c r="M17" s="74"/>
      <c r="N17" s="7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</row>
    <row r="18" spans="3:36" ht="25" customHeight="1">
      <c r="C18" s="117" t="str">
        <f>"¿Qué puntuación le das a "&amp;$P$6&amp;" en "&amp;$C$7&amp;"?"</f>
        <v>¿Qué puntuación le das a MOTOROLA en PRECIO?</v>
      </c>
      <c r="D18" s="118"/>
      <c r="E18" s="119"/>
      <c r="F18" s="126">
        <v>0</v>
      </c>
      <c r="G18" s="64"/>
      <c r="H18" s="117" t="str">
        <f>"¿Qué puntuación le das a "&amp;$Q$6&amp;" en "&amp;$C$7&amp;"?"</f>
        <v>¿Qué puntuación le das a APPLE en PRECIO?</v>
      </c>
      <c r="I18" s="118"/>
      <c r="J18" s="119"/>
      <c r="K18" s="126">
        <v>0</v>
      </c>
      <c r="L18" s="64"/>
      <c r="M18" s="117" t="str">
        <f>"¿Qué puntuación le das a "&amp;$R$6&amp;" en "&amp;$C$7&amp;"?"</f>
        <v>¿Qué puntuación le das a SAMSUNG en PRECIO?</v>
      </c>
      <c r="N18" s="118"/>
      <c r="O18" s="119"/>
      <c r="P18" s="126">
        <v>0</v>
      </c>
      <c r="Q18" s="64"/>
      <c r="R18" s="117" t="str">
        <f>"¿Qué puntuación le das a "&amp;$S$6&amp;" en "&amp;$C$7&amp;"?"</f>
        <v>¿Qué puntuación le das a NOKIA en PRECIO?</v>
      </c>
      <c r="S18" s="118"/>
      <c r="T18" s="119"/>
      <c r="U18" s="126">
        <v>0</v>
      </c>
      <c r="V18" s="64"/>
      <c r="W18" s="117" t="str">
        <f>"¿Qué puntuación le das a "&amp;$T$6&amp;" en "&amp;$C$7&amp;"?"</f>
        <v>¿Qué puntuación le das a Marca 5 en PRECIO?</v>
      </c>
      <c r="X18" s="118"/>
      <c r="Y18" s="119"/>
      <c r="Z18" s="126">
        <v>0</v>
      </c>
      <c r="AA18" s="64"/>
      <c r="AB18" s="117" t="str">
        <f>"¿Qué puntuación le das a  "&amp;$U$6&amp;" en "&amp;$C$7&amp;"?"</f>
        <v>¿Qué puntuación le das a  Marca 6 en PRECIO?</v>
      </c>
      <c r="AC18" s="118"/>
      <c r="AD18" s="119"/>
      <c r="AE18" s="126">
        <v>0</v>
      </c>
      <c r="AF18" s="64"/>
      <c r="AG18" s="117" t="str">
        <f>"¿Qué puntuación le das a  "&amp;$V$6&amp;" en "&amp;$C$7&amp;"?"</f>
        <v>¿Qué puntuación le das a  Marca 7 en PRECIO?</v>
      </c>
      <c r="AH18" s="118"/>
      <c r="AI18" s="119"/>
      <c r="AJ18" s="126">
        <v>0</v>
      </c>
    </row>
    <row r="19" spans="3:36" ht="25" customHeight="1">
      <c r="C19" s="120"/>
      <c r="D19" s="121"/>
      <c r="E19" s="122"/>
      <c r="F19" s="127"/>
      <c r="G19" s="64"/>
      <c r="H19" s="120"/>
      <c r="I19" s="121"/>
      <c r="J19" s="122"/>
      <c r="K19" s="127"/>
      <c r="L19" s="64"/>
      <c r="M19" s="120"/>
      <c r="N19" s="121"/>
      <c r="O19" s="122"/>
      <c r="P19" s="127"/>
      <c r="Q19" s="64"/>
      <c r="R19" s="120"/>
      <c r="S19" s="121"/>
      <c r="T19" s="122"/>
      <c r="U19" s="127"/>
      <c r="V19" s="64"/>
      <c r="W19" s="120"/>
      <c r="X19" s="121"/>
      <c r="Y19" s="122"/>
      <c r="Z19" s="127"/>
      <c r="AA19" s="64"/>
      <c r="AB19" s="120"/>
      <c r="AC19" s="121"/>
      <c r="AD19" s="122"/>
      <c r="AE19" s="127"/>
      <c r="AF19" s="64"/>
      <c r="AG19" s="120"/>
      <c r="AH19" s="121"/>
      <c r="AI19" s="122"/>
      <c r="AJ19" s="127"/>
    </row>
    <row r="20" spans="3:36" ht="25" customHeight="1" thickBot="1">
      <c r="C20" s="123"/>
      <c r="D20" s="124"/>
      <c r="E20" s="125"/>
      <c r="F20" s="128"/>
      <c r="G20" s="64"/>
      <c r="H20" s="123"/>
      <c r="I20" s="124"/>
      <c r="J20" s="125"/>
      <c r="K20" s="128"/>
      <c r="L20" s="64"/>
      <c r="M20" s="123"/>
      <c r="N20" s="124"/>
      <c r="O20" s="125"/>
      <c r="P20" s="128"/>
      <c r="Q20" s="64"/>
      <c r="R20" s="123"/>
      <c r="S20" s="124"/>
      <c r="T20" s="125"/>
      <c r="U20" s="128"/>
      <c r="V20" s="64"/>
      <c r="W20" s="123"/>
      <c r="X20" s="124"/>
      <c r="Y20" s="125"/>
      <c r="Z20" s="128"/>
      <c r="AA20" s="64"/>
      <c r="AB20" s="123"/>
      <c r="AC20" s="124"/>
      <c r="AD20" s="125"/>
      <c r="AE20" s="128"/>
      <c r="AF20" s="64"/>
      <c r="AG20" s="123"/>
      <c r="AH20" s="124"/>
      <c r="AI20" s="125"/>
      <c r="AJ20" s="128"/>
    </row>
    <row r="21" spans="3:36" ht="10" customHeight="1"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</row>
    <row r="22" spans="3:36" ht="10" customHeight="1" thickBot="1"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</row>
    <row r="23" spans="3:36" ht="25" customHeight="1">
      <c r="C23" s="117" t="str">
        <f>"¿Qué puntuación le das a "&amp;$P$6&amp;" en "&amp;$C$8&amp;"?"</f>
        <v>¿Qué puntuación le das a MOTOROLA en DISEÑO?</v>
      </c>
      <c r="D23" s="118"/>
      <c r="E23" s="119"/>
      <c r="F23" s="126">
        <v>0</v>
      </c>
      <c r="G23" s="64"/>
      <c r="H23" s="117" t="str">
        <f>"¿Qué puntuación le das a "&amp;$Q$6&amp;" en "&amp;$C$8&amp;"?"</f>
        <v>¿Qué puntuación le das a APPLE en DISEÑO?</v>
      </c>
      <c r="I23" s="118"/>
      <c r="J23" s="119"/>
      <c r="K23" s="126">
        <v>0</v>
      </c>
      <c r="L23" s="64"/>
      <c r="M23" s="117" t="str">
        <f>"¿Qué puntuación le das a "&amp;$R$6&amp;" en "&amp;$C$8&amp;"?"</f>
        <v>¿Qué puntuación le das a SAMSUNG en DISEÑO?</v>
      </c>
      <c r="N23" s="118"/>
      <c r="O23" s="119"/>
      <c r="P23" s="126">
        <v>0</v>
      </c>
      <c r="Q23" s="64"/>
      <c r="R23" s="117" t="str">
        <f>"¿Qué puntuación le das a "&amp;$S$6&amp;" en "&amp;$C$8&amp;"?"</f>
        <v>¿Qué puntuación le das a NOKIA en DISEÑO?</v>
      </c>
      <c r="S23" s="118"/>
      <c r="T23" s="119"/>
      <c r="U23" s="126">
        <v>0</v>
      </c>
      <c r="V23" s="64"/>
      <c r="W23" s="117" t="str">
        <f>"¿Qué puntuación le das a "&amp;$T$6&amp;" en "&amp;$C$8&amp;"?"</f>
        <v>¿Qué puntuación le das a Marca 5 en DISEÑO?</v>
      </c>
      <c r="X23" s="118"/>
      <c r="Y23" s="119"/>
      <c r="Z23" s="126">
        <v>0</v>
      </c>
      <c r="AA23" s="64"/>
      <c r="AB23" s="117" t="str">
        <f>"¿Qué puntuación le das a  "&amp;$U$6&amp;" en "&amp;$C$8&amp;"?"</f>
        <v>¿Qué puntuación le das a  Marca 6 en DISEÑO?</v>
      </c>
      <c r="AC23" s="118"/>
      <c r="AD23" s="119"/>
      <c r="AE23" s="126">
        <v>0</v>
      </c>
      <c r="AF23" s="64"/>
      <c r="AG23" s="117" t="str">
        <f>"¿Qué puntuación le das a  "&amp;$V$6&amp;" en "&amp;$C$8&amp;"?"</f>
        <v>¿Qué puntuación le das a  Marca 7 en DISEÑO?</v>
      </c>
      <c r="AH23" s="118"/>
      <c r="AI23" s="119"/>
      <c r="AJ23" s="126">
        <v>0</v>
      </c>
    </row>
    <row r="24" spans="3:36" ht="25" customHeight="1">
      <c r="C24" s="120"/>
      <c r="D24" s="121"/>
      <c r="E24" s="122"/>
      <c r="F24" s="127"/>
      <c r="G24" s="64"/>
      <c r="H24" s="120"/>
      <c r="I24" s="121"/>
      <c r="J24" s="122"/>
      <c r="K24" s="127"/>
      <c r="L24" s="64"/>
      <c r="M24" s="120"/>
      <c r="N24" s="121"/>
      <c r="O24" s="122"/>
      <c r="P24" s="127"/>
      <c r="Q24" s="64"/>
      <c r="R24" s="120"/>
      <c r="S24" s="121"/>
      <c r="T24" s="122"/>
      <c r="U24" s="127"/>
      <c r="V24" s="64"/>
      <c r="W24" s="120"/>
      <c r="X24" s="121"/>
      <c r="Y24" s="122"/>
      <c r="Z24" s="127"/>
      <c r="AA24" s="64"/>
      <c r="AB24" s="120"/>
      <c r="AC24" s="121"/>
      <c r="AD24" s="122"/>
      <c r="AE24" s="127"/>
      <c r="AF24" s="64"/>
      <c r="AG24" s="120"/>
      <c r="AH24" s="121"/>
      <c r="AI24" s="122"/>
      <c r="AJ24" s="127"/>
    </row>
    <row r="25" spans="3:36" ht="25" customHeight="1" thickBot="1">
      <c r="C25" s="123"/>
      <c r="D25" s="124"/>
      <c r="E25" s="125"/>
      <c r="F25" s="128"/>
      <c r="G25" s="64"/>
      <c r="H25" s="123"/>
      <c r="I25" s="124"/>
      <c r="J25" s="125"/>
      <c r="K25" s="128"/>
      <c r="L25" s="64"/>
      <c r="M25" s="123"/>
      <c r="N25" s="124"/>
      <c r="O25" s="125"/>
      <c r="P25" s="128"/>
      <c r="Q25" s="64"/>
      <c r="R25" s="123"/>
      <c r="S25" s="124"/>
      <c r="T25" s="125"/>
      <c r="U25" s="128"/>
      <c r="V25" s="64"/>
      <c r="W25" s="123"/>
      <c r="X25" s="124"/>
      <c r="Y25" s="125"/>
      <c r="Z25" s="128"/>
      <c r="AA25" s="64"/>
      <c r="AB25" s="123"/>
      <c r="AC25" s="124"/>
      <c r="AD25" s="125"/>
      <c r="AE25" s="128"/>
      <c r="AF25" s="64"/>
      <c r="AG25" s="123"/>
      <c r="AH25" s="124"/>
      <c r="AI25" s="125"/>
      <c r="AJ25" s="128"/>
    </row>
    <row r="26" spans="3:36" ht="10" customHeight="1"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</row>
    <row r="27" spans="3:36" ht="10" customHeight="1" thickBo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</row>
    <row r="28" spans="3:36" ht="25" customHeight="1">
      <c r="C28" s="117" t="str">
        <f>"¿Qué puntuación le das a "&amp;$P$6&amp;" en "&amp;$C$9&amp;"?"</f>
        <v>¿Qué puntuación le das a MOTOROLA en TAMAÑO?</v>
      </c>
      <c r="D28" s="118"/>
      <c r="E28" s="119"/>
      <c r="F28" s="126">
        <v>0</v>
      </c>
      <c r="G28" s="64"/>
      <c r="H28" s="117" t="str">
        <f>"¿Qué puntuación le das a "&amp;$Q$6&amp;" en "&amp;$C$9&amp;"?"</f>
        <v>¿Qué puntuación le das a APPLE en TAMAÑO?</v>
      </c>
      <c r="I28" s="118"/>
      <c r="J28" s="119"/>
      <c r="K28" s="126">
        <v>0</v>
      </c>
      <c r="L28" s="64"/>
      <c r="M28" s="117" t="str">
        <f>"¿Qué puntuación le das a "&amp;$R$6&amp;" en "&amp;$C$9&amp;"?"</f>
        <v>¿Qué puntuación le das a SAMSUNG en TAMAÑO?</v>
      </c>
      <c r="N28" s="118"/>
      <c r="O28" s="119"/>
      <c r="P28" s="126">
        <v>0</v>
      </c>
      <c r="Q28" s="64"/>
      <c r="R28" s="117" t="str">
        <f>"¿Qué puntuación le das a "&amp;$S$6&amp;" en "&amp;$C$9&amp;"?"</f>
        <v>¿Qué puntuación le das a NOKIA en TAMAÑO?</v>
      </c>
      <c r="S28" s="118"/>
      <c r="T28" s="119"/>
      <c r="U28" s="126">
        <v>0</v>
      </c>
      <c r="V28" s="64"/>
      <c r="W28" s="117" t="str">
        <f>"¿Qué puntuación le das a "&amp;$T$6&amp;" en "&amp;$C$9&amp;"?"</f>
        <v>¿Qué puntuación le das a Marca 5 en TAMAÑO?</v>
      </c>
      <c r="X28" s="118"/>
      <c r="Y28" s="119"/>
      <c r="Z28" s="126">
        <v>0</v>
      </c>
      <c r="AA28" s="64"/>
      <c r="AB28" s="117" t="str">
        <f>"¿Qué puntuación le das a  "&amp;$U$6&amp;" en "&amp;$C$9&amp;"?"</f>
        <v>¿Qué puntuación le das a  Marca 6 en TAMAÑO?</v>
      </c>
      <c r="AC28" s="118"/>
      <c r="AD28" s="119"/>
      <c r="AE28" s="126">
        <v>0</v>
      </c>
      <c r="AF28" s="64"/>
      <c r="AG28" s="117" t="str">
        <f>"¿Qué puntuación le das a  "&amp;$V$6&amp;" en "&amp;$C$9&amp;"?"</f>
        <v>¿Qué puntuación le das a  Marca 7 en TAMAÑO?</v>
      </c>
      <c r="AH28" s="118"/>
      <c r="AI28" s="119"/>
      <c r="AJ28" s="126">
        <v>0</v>
      </c>
    </row>
    <row r="29" spans="3:36" ht="25" customHeight="1">
      <c r="C29" s="120"/>
      <c r="D29" s="121"/>
      <c r="E29" s="122"/>
      <c r="F29" s="127"/>
      <c r="G29" s="64"/>
      <c r="H29" s="120"/>
      <c r="I29" s="121"/>
      <c r="J29" s="122"/>
      <c r="K29" s="127"/>
      <c r="L29" s="64"/>
      <c r="M29" s="120"/>
      <c r="N29" s="121"/>
      <c r="O29" s="122"/>
      <c r="P29" s="127"/>
      <c r="Q29" s="64"/>
      <c r="R29" s="120"/>
      <c r="S29" s="121"/>
      <c r="T29" s="122"/>
      <c r="U29" s="127"/>
      <c r="V29" s="64"/>
      <c r="W29" s="120"/>
      <c r="X29" s="121"/>
      <c r="Y29" s="122"/>
      <c r="Z29" s="127"/>
      <c r="AA29" s="64"/>
      <c r="AB29" s="120"/>
      <c r="AC29" s="121"/>
      <c r="AD29" s="122"/>
      <c r="AE29" s="127"/>
      <c r="AF29" s="64"/>
      <c r="AG29" s="120"/>
      <c r="AH29" s="121"/>
      <c r="AI29" s="122"/>
      <c r="AJ29" s="127"/>
    </row>
    <row r="30" spans="3:36" ht="25" customHeight="1" thickBot="1">
      <c r="C30" s="123"/>
      <c r="D30" s="124"/>
      <c r="E30" s="125"/>
      <c r="F30" s="128"/>
      <c r="G30" s="64"/>
      <c r="H30" s="123"/>
      <c r="I30" s="124"/>
      <c r="J30" s="125"/>
      <c r="K30" s="128"/>
      <c r="L30" s="64"/>
      <c r="M30" s="123"/>
      <c r="N30" s="124"/>
      <c r="O30" s="125"/>
      <c r="P30" s="128"/>
      <c r="Q30" s="64"/>
      <c r="R30" s="123"/>
      <c r="S30" s="124"/>
      <c r="T30" s="125"/>
      <c r="U30" s="128"/>
      <c r="V30" s="64"/>
      <c r="W30" s="123"/>
      <c r="X30" s="124"/>
      <c r="Y30" s="125"/>
      <c r="Z30" s="128"/>
      <c r="AA30" s="64"/>
      <c r="AB30" s="123"/>
      <c r="AC30" s="124"/>
      <c r="AD30" s="125"/>
      <c r="AE30" s="128"/>
      <c r="AF30" s="64"/>
      <c r="AG30" s="123"/>
      <c r="AH30" s="124"/>
      <c r="AI30" s="125"/>
      <c r="AJ30" s="128"/>
    </row>
    <row r="31" spans="3:36" ht="10" customHeight="1"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</row>
    <row r="32" spans="3:36" ht="10" customHeight="1" thickBot="1"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</row>
    <row r="33" spans="3:36" ht="25" customHeight="1">
      <c r="C33" s="117" t="str">
        <f>"¿Qué puntuación le das a "&amp;$P$6&amp;" en  "&amp;$C$10&amp;"?"</f>
        <v>¿Qué puntuación le das a MOTOROLA en  CAPACIDAD?</v>
      </c>
      <c r="D33" s="118"/>
      <c r="E33" s="119"/>
      <c r="F33" s="126">
        <v>0</v>
      </c>
      <c r="G33" s="64"/>
      <c r="H33" s="117" t="str">
        <f>"¿Qué puntuación le das a "&amp;$Q$6&amp;" en "&amp;$C$10&amp;"?"</f>
        <v>¿Qué puntuación le das a APPLE en CAPACIDAD?</v>
      </c>
      <c r="I33" s="118"/>
      <c r="J33" s="119"/>
      <c r="K33" s="126">
        <v>0</v>
      </c>
      <c r="L33" s="64"/>
      <c r="M33" s="117" t="str">
        <f>"¿Qué puntuación le das a "&amp;$R$6&amp;" en "&amp;$C$10&amp;"?"</f>
        <v>¿Qué puntuación le das a SAMSUNG en CAPACIDAD?</v>
      </c>
      <c r="N33" s="118"/>
      <c r="O33" s="119"/>
      <c r="P33" s="126">
        <v>0</v>
      </c>
      <c r="Q33" s="64"/>
      <c r="R33" s="117" t="str">
        <f>"¿Qué puntuación le das a "&amp;$S$6&amp;" en "&amp;$C$10&amp;"?"</f>
        <v>¿Qué puntuación le das a NOKIA en CAPACIDAD?</v>
      </c>
      <c r="S33" s="118"/>
      <c r="T33" s="119"/>
      <c r="U33" s="126">
        <v>0</v>
      </c>
      <c r="V33" s="64"/>
      <c r="W33" s="117" t="str">
        <f>"¿Qué puntuación le das a "&amp;$T$6&amp;" en "&amp;$C$10&amp;"?"</f>
        <v>¿Qué puntuación le das a Marca 5 en CAPACIDAD?</v>
      </c>
      <c r="X33" s="118"/>
      <c r="Y33" s="119"/>
      <c r="Z33" s="126">
        <v>0</v>
      </c>
      <c r="AA33" s="64"/>
      <c r="AB33" s="117" t="str">
        <f>"¿Qué puntuación le das a  "&amp;$U$6&amp;" en "&amp;$C$10&amp;"?"</f>
        <v>¿Qué puntuación le das a  Marca 6 en CAPACIDAD?</v>
      </c>
      <c r="AC33" s="118"/>
      <c r="AD33" s="119"/>
      <c r="AE33" s="126">
        <v>0</v>
      </c>
      <c r="AF33" s="64"/>
      <c r="AG33" s="117" t="str">
        <f>"¿Qué puntuación le das a  "&amp;$V$6&amp;" en "&amp;$C$10&amp;"?"</f>
        <v>¿Qué puntuación le das a  Marca 7 en CAPACIDAD?</v>
      </c>
      <c r="AH33" s="118"/>
      <c r="AI33" s="119"/>
      <c r="AJ33" s="126">
        <v>0</v>
      </c>
    </row>
    <row r="34" spans="3:36" ht="25" customHeight="1">
      <c r="C34" s="120"/>
      <c r="D34" s="121"/>
      <c r="E34" s="122"/>
      <c r="F34" s="127"/>
      <c r="G34" s="64"/>
      <c r="H34" s="120"/>
      <c r="I34" s="121"/>
      <c r="J34" s="122"/>
      <c r="K34" s="127"/>
      <c r="L34" s="64"/>
      <c r="M34" s="120"/>
      <c r="N34" s="121"/>
      <c r="O34" s="122"/>
      <c r="P34" s="127"/>
      <c r="Q34" s="64"/>
      <c r="R34" s="120"/>
      <c r="S34" s="121"/>
      <c r="T34" s="122"/>
      <c r="U34" s="127"/>
      <c r="V34" s="64"/>
      <c r="W34" s="120"/>
      <c r="X34" s="121"/>
      <c r="Y34" s="122"/>
      <c r="Z34" s="127"/>
      <c r="AA34" s="64"/>
      <c r="AB34" s="120"/>
      <c r="AC34" s="121"/>
      <c r="AD34" s="122"/>
      <c r="AE34" s="127"/>
      <c r="AF34" s="64"/>
      <c r="AG34" s="120"/>
      <c r="AH34" s="121"/>
      <c r="AI34" s="122"/>
      <c r="AJ34" s="127"/>
    </row>
    <row r="35" spans="3:36" ht="25" customHeight="1" thickBot="1">
      <c r="C35" s="123"/>
      <c r="D35" s="124"/>
      <c r="E35" s="125"/>
      <c r="F35" s="128"/>
      <c r="G35" s="64"/>
      <c r="H35" s="123"/>
      <c r="I35" s="124"/>
      <c r="J35" s="125"/>
      <c r="K35" s="128"/>
      <c r="L35" s="64"/>
      <c r="M35" s="123"/>
      <c r="N35" s="124"/>
      <c r="O35" s="125"/>
      <c r="P35" s="128"/>
      <c r="Q35" s="64"/>
      <c r="R35" s="123"/>
      <c r="S35" s="124"/>
      <c r="T35" s="125"/>
      <c r="U35" s="128"/>
      <c r="V35" s="64"/>
      <c r="W35" s="123"/>
      <c r="X35" s="124"/>
      <c r="Y35" s="125"/>
      <c r="Z35" s="128"/>
      <c r="AA35" s="64"/>
      <c r="AB35" s="123"/>
      <c r="AC35" s="124"/>
      <c r="AD35" s="125"/>
      <c r="AE35" s="128"/>
      <c r="AF35" s="64"/>
      <c r="AG35" s="123"/>
      <c r="AH35" s="124"/>
      <c r="AI35" s="125"/>
      <c r="AJ35" s="128"/>
    </row>
    <row r="36" spans="3:36" ht="10" customHeight="1"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</row>
    <row r="37" spans="3:36" ht="10" customHeight="1" thickBot="1"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</row>
    <row r="38" spans="3:36" ht="25" customHeight="1">
      <c r="C38" s="117" t="str">
        <f>"¿Qué puntuación le das a  "&amp;$P$6&amp;" en "&amp;$C$10&amp;"?"</f>
        <v>¿Qué puntuación le das a  MOTOROLA en CAPACIDAD?</v>
      </c>
      <c r="D38" s="118"/>
      <c r="E38" s="119"/>
      <c r="F38" s="126">
        <v>0</v>
      </c>
      <c r="G38" s="64"/>
      <c r="H38" s="117" t="str">
        <f>"¿Qué puntuación le das a  "&amp;$Q$6&amp;" en "&amp;$C$10&amp;"?"</f>
        <v>¿Qué puntuación le das a  APPLE en CAPACIDAD?</v>
      </c>
      <c r="I38" s="118"/>
      <c r="J38" s="119"/>
      <c r="K38" s="126">
        <v>0</v>
      </c>
      <c r="L38" s="64"/>
      <c r="M38" s="117" t="str">
        <f>"¿Qué puntuación le das a  "&amp;$R$6&amp;" en "&amp;$C$10&amp;"?"</f>
        <v>¿Qué puntuación le das a  SAMSUNG en CAPACIDAD?</v>
      </c>
      <c r="N38" s="118"/>
      <c r="O38" s="119"/>
      <c r="P38" s="126">
        <v>0</v>
      </c>
      <c r="Q38" s="64"/>
      <c r="R38" s="117" t="str">
        <f>"¿Qué puntuación le das a  "&amp;$S$6&amp;" en "&amp;$C$10&amp;"?"</f>
        <v>¿Qué puntuación le das a  NOKIA en CAPACIDAD?</v>
      </c>
      <c r="S38" s="118"/>
      <c r="T38" s="119"/>
      <c r="U38" s="126">
        <v>0</v>
      </c>
      <c r="V38" s="64"/>
      <c r="W38" s="117" t="str">
        <f>"¿Qué puntuación le das a  "&amp;$T$6&amp;" en "&amp;$C$10&amp;"?"</f>
        <v>¿Qué puntuación le das a  Marca 5 en CAPACIDAD?</v>
      </c>
      <c r="X38" s="118"/>
      <c r="Y38" s="119"/>
      <c r="Z38" s="126">
        <v>0</v>
      </c>
      <c r="AA38" s="64"/>
      <c r="AB38" s="117" t="str">
        <f>"¿Qué puntuación le das a  "&amp;$U$6&amp;" en "&amp;$C$10&amp;"?"</f>
        <v>¿Qué puntuación le das a  Marca 6 en CAPACIDAD?</v>
      </c>
      <c r="AC38" s="118"/>
      <c r="AD38" s="119"/>
      <c r="AE38" s="126">
        <v>0</v>
      </c>
      <c r="AF38" s="64"/>
      <c r="AG38" s="117" t="str">
        <f>"¿Qué puntuación le das a  "&amp;$V$6&amp;" en "&amp;$C$10&amp;"?"</f>
        <v>¿Qué puntuación le das a  Marca 7 en CAPACIDAD?</v>
      </c>
      <c r="AH38" s="118"/>
      <c r="AI38" s="119"/>
      <c r="AJ38" s="126">
        <v>0</v>
      </c>
    </row>
    <row r="39" spans="3:36" ht="25" customHeight="1">
      <c r="C39" s="120"/>
      <c r="D39" s="121"/>
      <c r="E39" s="122"/>
      <c r="F39" s="127"/>
      <c r="G39" s="64"/>
      <c r="H39" s="120"/>
      <c r="I39" s="121"/>
      <c r="J39" s="122"/>
      <c r="K39" s="127"/>
      <c r="L39" s="64"/>
      <c r="M39" s="120"/>
      <c r="N39" s="121"/>
      <c r="O39" s="122"/>
      <c r="P39" s="127"/>
      <c r="Q39" s="64"/>
      <c r="R39" s="120"/>
      <c r="S39" s="121"/>
      <c r="T39" s="122"/>
      <c r="U39" s="127"/>
      <c r="V39" s="64"/>
      <c r="W39" s="120"/>
      <c r="X39" s="121"/>
      <c r="Y39" s="122"/>
      <c r="Z39" s="127"/>
      <c r="AA39" s="64"/>
      <c r="AB39" s="120"/>
      <c r="AC39" s="121"/>
      <c r="AD39" s="122"/>
      <c r="AE39" s="127"/>
      <c r="AF39" s="64"/>
      <c r="AG39" s="120"/>
      <c r="AH39" s="121"/>
      <c r="AI39" s="122"/>
      <c r="AJ39" s="127"/>
    </row>
    <row r="40" spans="3:36" ht="25" customHeight="1" thickBot="1">
      <c r="C40" s="123"/>
      <c r="D40" s="124"/>
      <c r="E40" s="125"/>
      <c r="F40" s="128"/>
      <c r="G40" s="64"/>
      <c r="H40" s="123"/>
      <c r="I40" s="124"/>
      <c r="J40" s="125"/>
      <c r="K40" s="128"/>
      <c r="L40" s="64"/>
      <c r="M40" s="123"/>
      <c r="N40" s="124"/>
      <c r="O40" s="125"/>
      <c r="P40" s="128"/>
      <c r="Q40" s="64"/>
      <c r="R40" s="123"/>
      <c r="S40" s="124"/>
      <c r="T40" s="125"/>
      <c r="U40" s="128"/>
      <c r="V40" s="64"/>
      <c r="W40" s="123"/>
      <c r="X40" s="124"/>
      <c r="Y40" s="125"/>
      <c r="Z40" s="128"/>
      <c r="AA40" s="64"/>
      <c r="AB40" s="123"/>
      <c r="AC40" s="124"/>
      <c r="AD40" s="125"/>
      <c r="AE40" s="128"/>
      <c r="AF40" s="64"/>
      <c r="AG40" s="123"/>
      <c r="AH40" s="124"/>
      <c r="AI40" s="125"/>
      <c r="AJ40" s="128"/>
    </row>
    <row r="41" spans="3:36" ht="101.25" customHeight="1"/>
    <row r="42" spans="3:36" ht="14"/>
    <row r="43" spans="3:36" s="51" customFormat="1" ht="17" customHeight="1">
      <c r="C43" s="56"/>
    </row>
    <row r="44" spans="3:36" ht="14.25" hidden="1" customHeight="1"/>
    <row r="45" spans="3:36" ht="14.25" hidden="1" customHeight="1"/>
    <row r="46" spans="3:36" ht="14.25" hidden="1" customHeight="1"/>
    <row r="47" spans="3:36" ht="14.25" hidden="1" customHeight="1"/>
    <row r="48" spans="3:36" ht="14.25" hidden="1" customHeight="1"/>
    <row r="49" ht="14.25" hidden="1" customHeight="1"/>
    <row r="50" ht="14.25" hidden="1" customHeight="1"/>
    <row r="51" ht="14.25" hidden="1" customHeight="1"/>
    <row r="52" ht="14.25" hidden="1" customHeight="1"/>
    <row r="53" ht="14.25" hidden="1" customHeight="1"/>
    <row r="54" ht="14.25" hidden="1" customHeight="1"/>
    <row r="55" ht="14.25" hidden="1" customHeight="1"/>
  </sheetData>
  <sheetProtection sheet="1" objects="1" scenarios="1"/>
  <mergeCells count="81">
    <mergeCell ref="W18:Y20"/>
    <mergeCell ref="Z18:Z20"/>
    <mergeCell ref="C15:H15"/>
    <mergeCell ref="C18:E20"/>
    <mergeCell ref="F18:F20"/>
    <mergeCell ref="H18:J20"/>
    <mergeCell ref="K18:K20"/>
    <mergeCell ref="P23:P25"/>
    <mergeCell ref="M18:O20"/>
    <mergeCell ref="P18:P20"/>
    <mergeCell ref="R18:T20"/>
    <mergeCell ref="U18:U20"/>
    <mergeCell ref="C23:E25"/>
    <mergeCell ref="F23:F25"/>
    <mergeCell ref="H23:J25"/>
    <mergeCell ref="K23:K25"/>
    <mergeCell ref="M23:O25"/>
    <mergeCell ref="AE23:AE25"/>
    <mergeCell ref="AB18:AD20"/>
    <mergeCell ref="AE18:AE20"/>
    <mergeCell ref="AG18:AI20"/>
    <mergeCell ref="AJ18:AJ20"/>
    <mergeCell ref="AJ28:AJ30"/>
    <mergeCell ref="AG23:AI25"/>
    <mergeCell ref="AJ23:AJ25"/>
    <mergeCell ref="C28:E30"/>
    <mergeCell ref="F28:F30"/>
    <mergeCell ref="H28:J30"/>
    <mergeCell ref="K28:K30"/>
    <mergeCell ref="M28:O30"/>
    <mergeCell ref="P28:P30"/>
    <mergeCell ref="R28:T30"/>
    <mergeCell ref="U28:U30"/>
    <mergeCell ref="R23:T25"/>
    <mergeCell ref="U23:U25"/>
    <mergeCell ref="W23:Y25"/>
    <mergeCell ref="Z23:Z25"/>
    <mergeCell ref="AB23:AD25"/>
    <mergeCell ref="W28:Y30"/>
    <mergeCell ref="Z28:Z30"/>
    <mergeCell ref="AB28:AD30"/>
    <mergeCell ref="AE28:AE30"/>
    <mergeCell ref="AG28:AI30"/>
    <mergeCell ref="AE33:AE35"/>
    <mergeCell ref="C33:E35"/>
    <mergeCell ref="F33:F35"/>
    <mergeCell ref="H33:J35"/>
    <mergeCell ref="K33:K35"/>
    <mergeCell ref="M33:O35"/>
    <mergeCell ref="P33:P35"/>
    <mergeCell ref="AJ38:AJ40"/>
    <mergeCell ref="AG33:AI35"/>
    <mergeCell ref="AJ33:AJ35"/>
    <mergeCell ref="C38:E40"/>
    <mergeCell ref="F38:F40"/>
    <mergeCell ref="H38:J40"/>
    <mergeCell ref="K38:K40"/>
    <mergeCell ref="M38:O40"/>
    <mergeCell ref="P38:P40"/>
    <mergeCell ref="R38:T40"/>
    <mergeCell ref="U38:U40"/>
    <mergeCell ref="R33:T35"/>
    <mergeCell ref="U33:U35"/>
    <mergeCell ref="W33:Y35"/>
    <mergeCell ref="Z33:Z35"/>
    <mergeCell ref="AB33:AD35"/>
    <mergeCell ref="W38:Y40"/>
    <mergeCell ref="Z38:Z40"/>
    <mergeCell ref="AB38:AD40"/>
    <mergeCell ref="AE38:AE40"/>
    <mergeCell ref="AG38:AI40"/>
    <mergeCell ref="G10:H10"/>
    <mergeCell ref="G11:H11"/>
    <mergeCell ref="G12:H12"/>
    <mergeCell ref="C6:F6"/>
    <mergeCell ref="S2:U3"/>
    <mergeCell ref="C2:R3"/>
    <mergeCell ref="G6:H6"/>
    <mergeCell ref="G7:H7"/>
    <mergeCell ref="G8:H8"/>
    <mergeCell ref="G9:H9"/>
  </mergeCells>
  <conditionalFormatting sqref="C9:D9 G9">
    <cfRule type="expression" dxfId="48" priority="7">
      <formula>"if$C$2&lt;3"</formula>
    </cfRule>
  </conditionalFormatting>
  <conditionalFormatting sqref="C10:D10 G10">
    <cfRule type="expression" dxfId="47" priority="8">
      <formula>#REF!&lt;4</formula>
    </cfRule>
  </conditionalFormatting>
  <conditionalFormatting sqref="C11:D11 G11">
    <cfRule type="expression" dxfId="46" priority="9">
      <formula>#REF!&lt;5</formula>
    </cfRule>
  </conditionalFormatting>
  <conditionalFormatting sqref="C33:E35 G33:J35 L33:O35 Q33:T35 V33:Y35 AA33:AD35 AF33:AI35">
    <cfRule type="expression" dxfId="45" priority="2">
      <formula>#REF!&lt;4</formula>
    </cfRule>
  </conditionalFormatting>
  <conditionalFormatting sqref="C38:E40 AF38:AI40 AA38:AD40 V38:Y40 Q38:T40 L38:O40 G38:J40">
    <cfRule type="expression" dxfId="44" priority="1">
      <formula>#REF!&lt;5</formula>
    </cfRule>
  </conditionalFormatting>
  <conditionalFormatting sqref="R21:U22 R18:T20 R26:U27 R23:T25 R31:U32 R28:T30 R36:U37 R33:T35 R38:T40">
    <cfRule type="expression" dxfId="43" priority="6">
      <formula>#REF!&lt;4</formula>
    </cfRule>
  </conditionalFormatting>
  <conditionalFormatting sqref="W21:Z22 W18:Y20 W26:Z27 W23:Y25 W31:Z32 W28:Y30 W36:Z37 W33:Y35 W38:Y40">
    <cfRule type="expression" dxfId="42" priority="5">
      <formula>#REF!&lt;5</formula>
    </cfRule>
  </conditionalFormatting>
  <conditionalFormatting sqref="AB21:AE22 AB18:AD20 AB26:AE27 AB23:AD25 AB31:AE32 AB28:AD30 AB36:AE37 AB33:AD35 AB38:AD40">
    <cfRule type="expression" dxfId="41" priority="4">
      <formula>#REF!&lt;6</formula>
    </cfRule>
  </conditionalFormatting>
  <conditionalFormatting sqref="AG21:AJ22 AG18:AI20 AG26:AJ27 AG23:AI25 AG31:AJ32 AG28:AI30 AG36:AJ37 AG33:AI35 AG38:AI40">
    <cfRule type="expression" dxfId="40" priority="3">
      <formula>#REF!&lt;7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204" yWindow="572" count="1">
        <x14:dataValidation type="whole" errorStyle="warning" allowBlank="1" showInputMessage="1" showErrorMessage="1" error="Por favor selecciona un número en el rango seleccionado en el numeral 6" prompt="Por favor selecciona un número en el rango seleccionado en el numeral 6" xr:uid="{A44D23FC-6FEA-4C0F-A5BF-0788B2FE658F}">
          <x14:formula1>
            <xm:f>1</xm:f>
          </x14:formula1>
          <x14:formula2>
            <xm:f>'P1'!$X$2</xm:f>
          </x14:formula2>
          <xm:sqref>F18:F20 K18:K20 P18:P20 U18:U20 Z18:Z20 AE18:AE20 AJ18:AJ20 F23:F25 K23:K25 P23:P25 U23:U25 Z23:Z25 AE23:AE25 AJ23:AJ25 AJ28:AJ30 AE28:AE30 Z28:Z30 U28:U30 P28:P30 K28:K30 F28:F30 F33:F35 K33:K35 P33:P35 U33:U35 Z33:Z35 AE33:AE35 AJ33:AJ35 AJ38:AJ40 AE38:AE40 Z38:Z40 U38:U40 P38:P40 K38:K40 F38:F40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7B79-CEBB-435F-93A5-9257490CEC12}">
  <sheetPr>
    <tabColor rgb="FFE6DBB4"/>
  </sheetPr>
  <dimension ref="A1:AV17"/>
  <sheetViews>
    <sheetView showGridLines="0" zoomScale="89" zoomScaleNormal="89" workbookViewId="0"/>
  </sheetViews>
  <sheetFormatPr baseColWidth="10" defaultColWidth="0" defaultRowHeight="0" customHeight="1" zeroHeight="1"/>
  <cols>
    <col min="1" max="1" width="3.33203125" style="3" customWidth="1"/>
    <col min="2" max="2" width="5.6640625" style="27" customWidth="1"/>
    <col min="3" max="3" width="9.6640625" style="27" customWidth="1"/>
    <col min="4" max="4" width="18.5" style="27" customWidth="1"/>
    <col min="5" max="5" width="11.5" style="27" customWidth="1"/>
    <col min="6" max="7" width="9.6640625" style="27" customWidth="1"/>
    <col min="8" max="8" width="6.1640625" style="27" customWidth="1"/>
    <col min="9" max="10" width="9.6640625" style="27" customWidth="1"/>
    <col min="11" max="11" width="17.5" style="27" customWidth="1"/>
    <col min="12" max="12" width="14.1640625" style="27" customWidth="1"/>
    <col min="13" max="16" width="9.6640625" style="27" customWidth="1"/>
    <col min="17" max="17" width="5.6640625" style="27" customWidth="1"/>
    <col min="18" max="18" width="3.33203125" style="51" customWidth="1"/>
    <col min="19" max="33" width="9.6640625" style="57" hidden="1" customWidth="1"/>
    <col min="34" max="44" width="9.1640625" style="57" hidden="1" customWidth="1"/>
    <col min="45" max="45" width="8.83203125" style="57" hidden="1" customWidth="1"/>
    <col min="46" max="48" width="0" style="57" hidden="1" customWidth="1"/>
    <col min="49" max="16384" width="8.83203125" style="57" hidden="1"/>
  </cols>
  <sheetData>
    <row r="1" spans="2:16" s="3" customFormat="1" ht="17" customHeight="1"/>
    <row r="2" spans="2:16" ht="25" customHeight="1">
      <c r="C2" s="87" t="s">
        <v>29</v>
      </c>
      <c r="D2" s="87"/>
      <c r="E2" s="87"/>
      <c r="F2" s="87"/>
      <c r="G2" s="87"/>
      <c r="H2" s="87"/>
      <c r="I2" s="87"/>
      <c r="J2" s="87"/>
    </row>
    <row r="3" spans="2:16" ht="25" customHeight="1">
      <c r="C3" s="88"/>
      <c r="D3" s="88"/>
      <c r="E3" s="88"/>
      <c r="F3" s="88"/>
      <c r="G3" s="88"/>
      <c r="H3" s="88"/>
      <c r="I3" s="88"/>
      <c r="J3" s="88"/>
      <c r="K3" s="49"/>
      <c r="L3" s="49"/>
      <c r="M3" s="49"/>
      <c r="N3" s="49"/>
      <c r="O3" s="49"/>
      <c r="P3" s="49"/>
    </row>
    <row r="4" spans="2:16" ht="15" customHeight="1">
      <c r="C4" s="31"/>
    </row>
    <row r="5" spans="2:16" ht="17">
      <c r="C5" s="75" t="s">
        <v>36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2:16" ht="18" thickBot="1"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2:16" ht="18" thickBot="1">
      <c r="C7" s="112" t="s">
        <v>39</v>
      </c>
      <c r="D7" s="114"/>
      <c r="E7" s="112" t="s">
        <v>12</v>
      </c>
      <c r="F7" s="11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2:16" ht="17">
      <c r="B8" s="50">
        <v>1</v>
      </c>
      <c r="C8" s="70" t="str">
        <f>VLOOKUP($B8,'P2'!$AK$6:$AM$12,2,0)</f>
        <v>MOTOROLA</v>
      </c>
      <c r="D8" s="77"/>
      <c r="E8" s="132">
        <f>VLOOKUP($B8,'P2'!$AK$6:$AM$12,3,0)</f>
        <v>0</v>
      </c>
      <c r="F8" s="133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2:16" ht="17">
      <c r="B9" s="50">
        <v>2</v>
      </c>
      <c r="C9" s="70" t="str">
        <f>VLOOKUP($B9,'P2'!$AK$6:$AM$12,2,0)</f>
        <v>APPLE</v>
      </c>
      <c r="D9" s="77"/>
      <c r="E9" s="134">
        <f>VLOOKUP($B9,'P2'!$AK$6:$AM$12,3,0)</f>
        <v>0</v>
      </c>
      <c r="F9" s="135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2:16" ht="17">
      <c r="B10" s="50">
        <v>3</v>
      </c>
      <c r="C10" s="70" t="str">
        <f>VLOOKUP($B10,'P2'!$AK$6:$AM$12,2,0)</f>
        <v>SAMSUNG</v>
      </c>
      <c r="D10" s="77"/>
      <c r="E10" s="134">
        <f>VLOOKUP($B10,'P2'!$AK$6:$AM$12,3,0)</f>
        <v>0</v>
      </c>
      <c r="F10" s="135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2:16" ht="17">
      <c r="B11" s="50">
        <v>4</v>
      </c>
      <c r="C11" s="70" t="str">
        <f>VLOOKUP($B11,'P2'!$AK$6:$AM$12,2,0)</f>
        <v>NOKIA</v>
      </c>
      <c r="D11" s="77"/>
      <c r="E11" s="134">
        <f>VLOOKUP($B11,'P2'!$AK$6:$AM$12,3,0)</f>
        <v>0</v>
      </c>
      <c r="F11" s="135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2:16" ht="17">
      <c r="B12" s="50">
        <v>5</v>
      </c>
      <c r="C12" s="70" t="str">
        <f>VLOOKUP($B12,'P2'!$AK$6:$AM$12,2,0)</f>
        <v>Marca 5</v>
      </c>
      <c r="D12" s="77"/>
      <c r="E12" s="134">
        <f>VLOOKUP($B12,'P2'!$AK$6:$AM$12,3,0)</f>
        <v>0</v>
      </c>
      <c r="F12" s="135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2:16" ht="17">
      <c r="B13" s="50">
        <v>6</v>
      </c>
      <c r="C13" s="70" t="str">
        <f>VLOOKUP($B13,'P2'!$AK$6:$AM$12,2,0)</f>
        <v>Marca 6</v>
      </c>
      <c r="D13" s="77"/>
      <c r="E13" s="134">
        <f>VLOOKUP($B13,'P2'!$AK$6:$AM$12,3,0)</f>
        <v>0</v>
      </c>
      <c r="F13" s="135"/>
      <c r="G13" s="64"/>
      <c r="H13" s="64"/>
      <c r="I13" s="64"/>
      <c r="J13" s="64"/>
      <c r="K13" s="64"/>
      <c r="L13" s="64"/>
      <c r="M13" s="64"/>
      <c r="N13" s="64"/>
      <c r="O13" s="64"/>
      <c r="P13" s="64"/>
    </row>
    <row r="14" spans="2:16" ht="18" thickBot="1">
      <c r="B14" s="50">
        <v>7</v>
      </c>
      <c r="C14" s="71" t="str">
        <f>VLOOKUP($B14,'P2'!$AK$6:$AM$12,2,0)</f>
        <v>Marca 7</v>
      </c>
      <c r="D14" s="78"/>
      <c r="E14" s="130">
        <f>VLOOKUP($B14,'P2'!$AK$6:$AM$12,3,0)</f>
        <v>0</v>
      </c>
      <c r="F14" s="131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2:16" ht="14"/>
    <row r="16" spans="2:16" ht="25.5" customHeight="1"/>
    <row r="17" s="3" customFormat="1" ht="17" customHeight="1"/>
  </sheetData>
  <sheetProtection sheet="1" objects="1" scenarios="1"/>
  <mergeCells count="10">
    <mergeCell ref="E14:F14"/>
    <mergeCell ref="E7:F7"/>
    <mergeCell ref="C7:D7"/>
    <mergeCell ref="C2:J3"/>
    <mergeCell ref="E8:F8"/>
    <mergeCell ref="E9:F9"/>
    <mergeCell ref="E10:F10"/>
    <mergeCell ref="E11:F11"/>
    <mergeCell ref="E12:F12"/>
    <mergeCell ref="E13:F1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0DFA-30CA-468E-BF45-5F382CF2ACFB}">
  <sheetPr>
    <tabColor rgb="FFE6DBB4"/>
  </sheetPr>
  <dimension ref="A1:AU85"/>
  <sheetViews>
    <sheetView showGridLines="0" topLeftCell="A43" zoomScale="85" zoomScaleNormal="85" workbookViewId="0">
      <selection activeCell="S17" sqref="S17"/>
    </sheetView>
  </sheetViews>
  <sheetFormatPr baseColWidth="10" defaultColWidth="0" defaultRowHeight="14.25" customHeight="1" zeroHeight="1"/>
  <cols>
    <col min="1" max="1" width="8.83203125" style="3" customWidth="1"/>
    <col min="2" max="35" width="9.6640625" style="3" customWidth="1"/>
    <col min="36" max="46" width="0" style="3" hidden="1" customWidth="1"/>
    <col min="47" max="47" width="8.83203125" style="3" customWidth="1"/>
    <col min="48" max="16384" width="8.83203125" style="3" hidden="1"/>
  </cols>
  <sheetData>
    <row r="1" spans="2:21" ht="15" thickBot="1"/>
    <row r="2" spans="2:21" ht="14.25" customHeight="1">
      <c r="B2" s="158" t="s">
        <v>18</v>
      </c>
      <c r="C2" s="158"/>
      <c r="D2" s="158"/>
      <c r="E2" s="158"/>
      <c r="F2" s="148"/>
      <c r="G2" s="149"/>
      <c r="H2" s="149"/>
      <c r="I2" s="150"/>
      <c r="P2" s="4" t="s">
        <v>5</v>
      </c>
      <c r="Q2" s="4">
        <f>IF($H$27=P2,5,0)</f>
        <v>5</v>
      </c>
      <c r="R2" s="4"/>
      <c r="S2" s="4"/>
      <c r="T2" s="4"/>
      <c r="U2" s="4"/>
    </row>
    <row r="3" spans="2:21" ht="15" thickBot="1">
      <c r="B3" s="158"/>
      <c r="C3" s="158"/>
      <c r="D3" s="158"/>
      <c r="E3" s="158"/>
      <c r="F3" s="151"/>
      <c r="G3" s="152"/>
      <c r="H3" s="152"/>
      <c r="I3" s="153"/>
      <c r="P3" s="4" t="s">
        <v>4</v>
      </c>
      <c r="Q3" s="4">
        <f>IF($H$27=P3,7,0)</f>
        <v>0</v>
      </c>
      <c r="R3" s="4"/>
      <c r="S3" s="4"/>
      <c r="T3" s="4"/>
      <c r="U3" s="4"/>
    </row>
    <row r="4" spans="2:21" ht="15" thickBot="1">
      <c r="P4" s="4" t="s">
        <v>6</v>
      </c>
      <c r="Q4" s="4">
        <f>IF($H$27=P4,10,0)</f>
        <v>0</v>
      </c>
      <c r="R4" s="4"/>
      <c r="S4" s="4"/>
      <c r="T4" s="4"/>
      <c r="U4" s="4"/>
    </row>
    <row r="5" spans="2:21" ht="14" customHeight="1" thickBot="1">
      <c r="B5" s="3" t="s">
        <v>19</v>
      </c>
      <c r="E5" s="5"/>
      <c r="P5" s="18">
        <v>7</v>
      </c>
      <c r="Q5" s="4">
        <f>SUM(Q2:Q4)</f>
        <v>5</v>
      </c>
      <c r="R5" s="4"/>
      <c r="S5" s="4"/>
      <c r="T5" s="4"/>
      <c r="U5" s="4"/>
    </row>
    <row r="6" spans="2:21" ht="14" customHeight="1">
      <c r="E6" s="5"/>
      <c r="P6" s="4"/>
      <c r="Q6" s="4"/>
      <c r="R6" s="4"/>
      <c r="S6" s="4"/>
      <c r="T6" s="4"/>
      <c r="U6" s="4"/>
    </row>
    <row r="7" spans="2:21" ht="14" customHeight="1">
      <c r="B7" s="3" t="s">
        <v>13</v>
      </c>
      <c r="E7" s="5"/>
      <c r="P7" s="4"/>
      <c r="Q7" s="4"/>
      <c r="R7" s="4"/>
      <c r="S7" s="4"/>
      <c r="T7" s="4"/>
      <c r="U7" s="4"/>
    </row>
    <row r="8" spans="2:21" ht="14" customHeight="1" thickBot="1">
      <c r="C8" s="5"/>
      <c r="D8" s="6"/>
      <c r="E8" s="6"/>
      <c r="F8" s="6"/>
      <c r="P8" s="4"/>
      <c r="Q8" s="4"/>
      <c r="R8" s="4"/>
      <c r="S8" s="4"/>
      <c r="T8" s="4"/>
      <c r="U8" s="4"/>
    </row>
    <row r="9" spans="2:21" ht="14" customHeight="1">
      <c r="B9" s="148" t="s">
        <v>22</v>
      </c>
      <c r="C9" s="149"/>
      <c r="D9" s="150"/>
      <c r="F9" s="148" t="s">
        <v>23</v>
      </c>
      <c r="G9" s="149"/>
      <c r="H9" s="150"/>
      <c r="J9" s="148" t="s">
        <v>24</v>
      </c>
      <c r="K9" s="149"/>
      <c r="L9" s="150"/>
      <c r="N9" s="148" t="s">
        <v>7</v>
      </c>
      <c r="O9" s="149"/>
      <c r="P9" s="150"/>
    </row>
    <row r="10" spans="2:21" ht="14" customHeight="1" thickBot="1">
      <c r="B10" s="151"/>
      <c r="C10" s="152"/>
      <c r="D10" s="153"/>
      <c r="F10" s="151"/>
      <c r="G10" s="152"/>
      <c r="H10" s="153"/>
      <c r="J10" s="151"/>
      <c r="K10" s="152"/>
      <c r="L10" s="153"/>
      <c r="N10" s="151"/>
      <c r="O10" s="152"/>
      <c r="P10" s="153"/>
    </row>
    <row r="11" spans="2:21" ht="14" customHeight="1" thickBot="1">
      <c r="C11" s="6"/>
      <c r="D11" s="6"/>
      <c r="E11" s="6"/>
      <c r="F11" s="6"/>
    </row>
    <row r="12" spans="2:21" ht="14" customHeight="1">
      <c r="B12" s="148" t="s">
        <v>8</v>
      </c>
      <c r="C12" s="149"/>
      <c r="D12" s="150"/>
      <c r="F12" s="148" t="s">
        <v>9</v>
      </c>
      <c r="G12" s="149"/>
      <c r="H12" s="150"/>
      <c r="J12" s="148" t="s">
        <v>10</v>
      </c>
      <c r="K12" s="149"/>
      <c r="L12" s="150"/>
    </row>
    <row r="13" spans="2:21" ht="14" customHeight="1" thickBot="1">
      <c r="B13" s="151"/>
      <c r="C13" s="152"/>
      <c r="D13" s="153"/>
      <c r="F13" s="151"/>
      <c r="G13" s="152"/>
      <c r="H13" s="153"/>
      <c r="J13" s="151"/>
      <c r="K13" s="152"/>
      <c r="L13" s="153"/>
    </row>
    <row r="14" spans="2:21" ht="14" customHeight="1">
      <c r="C14" s="6"/>
      <c r="D14" s="6"/>
      <c r="E14" s="6"/>
      <c r="F14" s="6"/>
    </row>
    <row r="15" spans="2:21" ht="14" customHeight="1" thickBot="1">
      <c r="E15" s="5"/>
    </row>
    <row r="16" spans="2:21" ht="14" customHeight="1" thickBot="1">
      <c r="B16" s="3" t="s">
        <v>20</v>
      </c>
      <c r="E16" s="5"/>
      <c r="P16" s="18">
        <v>5</v>
      </c>
    </row>
    <row r="17" spans="2:39" ht="14" customHeight="1">
      <c r="E17" s="5"/>
    </row>
    <row r="18" spans="2:39" ht="14" customHeight="1">
      <c r="B18" s="3" t="s">
        <v>14</v>
      </c>
      <c r="E18" s="5"/>
    </row>
    <row r="19" spans="2:39" ht="14" customHeight="1" thickBot="1">
      <c r="C19" s="5"/>
      <c r="E19" s="5"/>
    </row>
    <row r="20" spans="2:39" ht="14" customHeight="1">
      <c r="B20" s="148" t="s">
        <v>25</v>
      </c>
      <c r="C20" s="149"/>
      <c r="D20" s="150"/>
      <c r="F20" s="148" t="s">
        <v>26</v>
      </c>
      <c r="G20" s="149"/>
      <c r="H20" s="150"/>
      <c r="J20" s="148" t="s">
        <v>27</v>
      </c>
      <c r="K20" s="149"/>
      <c r="L20" s="150"/>
    </row>
    <row r="21" spans="2:39" ht="14" customHeight="1" thickBot="1">
      <c r="B21" s="151"/>
      <c r="C21" s="152"/>
      <c r="D21" s="153"/>
      <c r="F21" s="151"/>
      <c r="G21" s="152"/>
      <c r="H21" s="153"/>
      <c r="J21" s="151"/>
      <c r="K21" s="152"/>
      <c r="L21" s="153"/>
    </row>
    <row r="22" spans="2:39" ht="14" customHeight="1" thickBot="1">
      <c r="C22" s="6"/>
      <c r="D22" s="6"/>
      <c r="E22" s="6"/>
      <c r="F22" s="6"/>
    </row>
    <row r="23" spans="2:39" ht="14" customHeight="1">
      <c r="B23" s="148" t="s">
        <v>0</v>
      </c>
      <c r="C23" s="149"/>
      <c r="D23" s="150"/>
      <c r="F23" s="148" t="s">
        <v>1</v>
      </c>
      <c r="G23" s="149"/>
      <c r="H23" s="150"/>
    </row>
    <row r="24" spans="2:39" ht="14" customHeight="1" thickBot="1">
      <c r="B24" s="151"/>
      <c r="C24" s="152"/>
      <c r="D24" s="153"/>
      <c r="F24" s="151"/>
      <c r="G24" s="152"/>
      <c r="H24" s="153"/>
    </row>
    <row r="25" spans="2:39" ht="14" customHeight="1">
      <c r="E25" s="5"/>
    </row>
    <row r="26" spans="2:39" ht="14" customHeight="1" thickBot="1">
      <c r="E26" s="5"/>
    </row>
    <row r="27" spans="2:39" ht="15" thickBot="1">
      <c r="B27" s="3" t="s">
        <v>15</v>
      </c>
      <c r="H27" s="154" t="s">
        <v>5</v>
      </c>
      <c r="I27" s="155"/>
      <c r="J27" s="155"/>
      <c r="K27" s="156"/>
    </row>
    <row r="28" spans="2:39" ht="14">
      <c r="K28" s="16"/>
    </row>
    <row r="29" spans="2:39" ht="14"/>
    <row r="30" spans="2:39" ht="15" thickBot="1">
      <c r="B30" s="3" t="s">
        <v>16</v>
      </c>
      <c r="D30" s="5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2:39" ht="16" thickBot="1">
      <c r="B31" s="21" t="s">
        <v>2</v>
      </c>
      <c r="C31" s="22"/>
      <c r="D31" s="23" t="s">
        <v>3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4" t="str">
        <f>B9</f>
        <v>Marca 1</v>
      </c>
      <c r="P31" s="4" t="str">
        <f>F9</f>
        <v>Marca 2</v>
      </c>
      <c r="Q31" s="4" t="str">
        <f>J9</f>
        <v>Marca 3</v>
      </c>
      <c r="R31" s="4" t="str">
        <f>N9</f>
        <v>Marca 4</v>
      </c>
      <c r="S31" s="4" t="str">
        <f>B12</f>
        <v>Marca 5</v>
      </c>
      <c r="T31" s="4" t="str">
        <f>F12</f>
        <v>Marca 6</v>
      </c>
      <c r="U31" s="4" t="str">
        <f>J12</f>
        <v>Marca 7</v>
      </c>
      <c r="V31" s="4"/>
      <c r="W31" s="4"/>
      <c r="X31" s="4"/>
      <c r="Y31" s="4" t="str">
        <f t="shared" ref="Y31:AE31" si="0">O31</f>
        <v>Marca 1</v>
      </c>
      <c r="Z31" s="4" t="str">
        <f t="shared" si="0"/>
        <v>Marca 2</v>
      </c>
      <c r="AA31" s="4" t="str">
        <f t="shared" si="0"/>
        <v>Marca 3</v>
      </c>
      <c r="AB31" s="4" t="str">
        <f t="shared" si="0"/>
        <v>Marca 4</v>
      </c>
      <c r="AC31" s="4" t="str">
        <f t="shared" si="0"/>
        <v>Marca 5</v>
      </c>
      <c r="AD31" s="4" t="str">
        <f t="shared" si="0"/>
        <v>Marca 6</v>
      </c>
      <c r="AE31" s="4" t="str">
        <f t="shared" si="0"/>
        <v>Marca 7</v>
      </c>
      <c r="AF31" s="4"/>
      <c r="AG31" s="4" t="str">
        <f>$Y$31</f>
        <v>Marca 1</v>
      </c>
      <c r="AH31" s="4">
        <f>$Y$37</f>
        <v>4.5</v>
      </c>
      <c r="AI31" s="4">
        <f>AH31+0.000000007</f>
        <v>4.5000000069999997</v>
      </c>
      <c r="AJ31" s="4">
        <f>RANK(AI31,$AI$31:$AI$37)</f>
        <v>5</v>
      </c>
      <c r="AK31" s="4" t="str">
        <f>AG31</f>
        <v>Marca 1</v>
      </c>
      <c r="AL31" s="4">
        <f>AH31</f>
        <v>4.5</v>
      </c>
      <c r="AM31" s="4"/>
    </row>
    <row r="32" spans="2:39" ht="14">
      <c r="B32" s="8" t="str">
        <f>B20</f>
        <v>Criterio 1</v>
      </c>
      <c r="C32" s="33"/>
      <c r="D32" s="34">
        <v>0.2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4">
        <f>E45</f>
        <v>5</v>
      </c>
      <c r="P32" s="4">
        <f>J45</f>
        <v>4</v>
      </c>
      <c r="Q32" s="4">
        <f>O45</f>
        <v>6</v>
      </c>
      <c r="R32" s="4">
        <f>IF($P$5&lt;4,0,T45)</f>
        <v>7</v>
      </c>
      <c r="S32" s="4">
        <f>IF($P$5&lt;5,0,Y45)</f>
        <v>5</v>
      </c>
      <c r="T32" s="4">
        <f>IF($P$5&lt;6,0,AD45)</f>
        <v>6</v>
      </c>
      <c r="U32" s="4">
        <f>IF($P$5&lt;7,0,AI45)</f>
        <v>7</v>
      </c>
      <c r="V32" s="4"/>
      <c r="W32" s="4"/>
      <c r="X32" s="4"/>
      <c r="Y32" s="4">
        <f t="shared" ref="Y32:AE36" si="1">O32*$D32</f>
        <v>1</v>
      </c>
      <c r="Z32" s="4">
        <f t="shared" si="1"/>
        <v>0.8</v>
      </c>
      <c r="AA32" s="4">
        <f t="shared" si="1"/>
        <v>1.2000000000000002</v>
      </c>
      <c r="AB32" s="4">
        <f t="shared" si="1"/>
        <v>1.4000000000000001</v>
      </c>
      <c r="AC32" s="4">
        <f t="shared" si="1"/>
        <v>1</v>
      </c>
      <c r="AD32" s="4">
        <f t="shared" si="1"/>
        <v>1.2000000000000002</v>
      </c>
      <c r="AE32" s="4">
        <f t="shared" si="1"/>
        <v>1.4000000000000001</v>
      </c>
      <c r="AF32" s="4"/>
      <c r="AG32" s="4" t="str">
        <f>$Z$31</f>
        <v>Marca 2</v>
      </c>
      <c r="AH32" s="4">
        <f>$Z$37</f>
        <v>5.9500000000000011</v>
      </c>
      <c r="AI32" s="4">
        <f>AH32+0.000000006</f>
        <v>5.9500000060000007</v>
      </c>
      <c r="AJ32" s="4">
        <f t="shared" ref="AJ32:AJ37" si="2">RANK(AI32,$AI$31:$AI$37)</f>
        <v>1</v>
      </c>
      <c r="AK32" s="4" t="str">
        <f t="shared" ref="AK32:AL37" si="3">AG32</f>
        <v>Marca 2</v>
      </c>
      <c r="AL32" s="4">
        <f t="shared" si="3"/>
        <v>5.9500000000000011</v>
      </c>
      <c r="AM32" s="4"/>
    </row>
    <row r="33" spans="2:39" ht="14">
      <c r="B33" s="8" t="str">
        <f>F20</f>
        <v>Criterio 2</v>
      </c>
      <c r="C33" s="33"/>
      <c r="D33" s="34">
        <v>0.3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4">
        <f>E50</f>
        <v>3</v>
      </c>
      <c r="P33" s="4">
        <f>J50</f>
        <v>7</v>
      </c>
      <c r="Q33" s="4">
        <f>O50</f>
        <v>4</v>
      </c>
      <c r="R33" s="4">
        <f>IF($P$5&lt;4,0,T50)</f>
        <v>6</v>
      </c>
      <c r="S33" s="4">
        <f>IF($P$5&lt;5,0,Y50)</f>
        <v>5</v>
      </c>
      <c r="T33" s="4">
        <f>IF($P$5&lt;6,0,AD50)</f>
        <v>5</v>
      </c>
      <c r="U33" s="4">
        <f>IF($P$5&lt;7,0,AI50)</f>
        <v>6</v>
      </c>
      <c r="V33" s="4"/>
      <c r="W33" s="4"/>
      <c r="X33" s="4"/>
      <c r="Y33" s="4">
        <f t="shared" si="1"/>
        <v>0.89999999999999991</v>
      </c>
      <c r="Z33" s="4">
        <f t="shared" si="1"/>
        <v>2.1</v>
      </c>
      <c r="AA33" s="4">
        <f t="shared" si="1"/>
        <v>1.2</v>
      </c>
      <c r="AB33" s="4">
        <f t="shared" si="1"/>
        <v>1.7999999999999998</v>
      </c>
      <c r="AC33" s="4">
        <f t="shared" si="1"/>
        <v>1.5</v>
      </c>
      <c r="AD33" s="4">
        <f t="shared" si="1"/>
        <v>1.5</v>
      </c>
      <c r="AE33" s="4">
        <f t="shared" si="1"/>
        <v>1.7999999999999998</v>
      </c>
      <c r="AF33" s="4"/>
      <c r="AG33" s="4" t="str">
        <f>$AA$31</f>
        <v>Marca 3</v>
      </c>
      <c r="AH33" s="4">
        <f>$AA$37</f>
        <v>4.4000000000000004</v>
      </c>
      <c r="AI33" s="4">
        <f>AH33+0.000000005</f>
        <v>4.4000000050000008</v>
      </c>
      <c r="AJ33" s="4">
        <f t="shared" si="2"/>
        <v>6</v>
      </c>
      <c r="AK33" s="4" t="str">
        <f t="shared" si="3"/>
        <v>Marca 3</v>
      </c>
      <c r="AL33" s="4">
        <f t="shared" si="3"/>
        <v>4.4000000000000004</v>
      </c>
      <c r="AM33" s="4"/>
    </row>
    <row r="34" spans="2:39" ht="14">
      <c r="B34" s="8" t="str">
        <f>J20</f>
        <v>Criterio 3</v>
      </c>
      <c r="C34" s="33"/>
      <c r="D34" s="34">
        <v>0.15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4">
        <f>E55</f>
        <v>5</v>
      </c>
      <c r="P34" s="4">
        <f>J55</f>
        <v>6</v>
      </c>
      <c r="Q34" s="4">
        <f>O55</f>
        <v>7</v>
      </c>
      <c r="R34" s="4">
        <f>IF($P$5&lt;4,0,T55)</f>
        <v>5</v>
      </c>
      <c r="S34" s="4">
        <f>IF($P$5&lt;5,0,Y55)</f>
        <v>2</v>
      </c>
      <c r="T34" s="4">
        <f>IF($P$5&lt;6,0,AD55)</f>
        <v>4</v>
      </c>
      <c r="U34" s="4">
        <f>IF($P$5&lt;7,0,AI55)</f>
        <v>6</v>
      </c>
      <c r="V34" s="4"/>
      <c r="W34" s="4"/>
      <c r="X34" s="4"/>
      <c r="Y34" s="4">
        <f t="shared" si="1"/>
        <v>0.75</v>
      </c>
      <c r="Z34" s="4">
        <f t="shared" si="1"/>
        <v>0.89999999999999991</v>
      </c>
      <c r="AA34" s="4">
        <f t="shared" si="1"/>
        <v>1.05</v>
      </c>
      <c r="AB34" s="4">
        <f t="shared" si="1"/>
        <v>0.75</v>
      </c>
      <c r="AC34" s="4">
        <f t="shared" si="1"/>
        <v>0.3</v>
      </c>
      <c r="AD34" s="4">
        <f t="shared" si="1"/>
        <v>0.6</v>
      </c>
      <c r="AE34" s="4">
        <f t="shared" si="1"/>
        <v>0.89999999999999991</v>
      </c>
      <c r="AF34" s="4"/>
      <c r="AG34" s="4" t="str">
        <f>$AB$31</f>
        <v>Marca 4</v>
      </c>
      <c r="AH34" s="4">
        <f>$AB$37</f>
        <v>5.7</v>
      </c>
      <c r="AI34" s="4">
        <f>AH34+0.000000004</f>
        <v>5.7000000040000005</v>
      </c>
      <c r="AJ34" s="4">
        <f t="shared" si="2"/>
        <v>3</v>
      </c>
      <c r="AK34" s="4" t="str">
        <f t="shared" si="3"/>
        <v>Marca 4</v>
      </c>
      <c r="AL34" s="4">
        <f t="shared" si="3"/>
        <v>5.7</v>
      </c>
      <c r="AM34" s="4"/>
    </row>
    <row r="35" spans="2:39" ht="14">
      <c r="B35" s="8" t="str">
        <f>IF($P$16&lt;4," ",B23)</f>
        <v>Criterio 4</v>
      </c>
      <c r="C35" s="33"/>
      <c r="D35" s="34">
        <v>0.25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4">
        <f>IF($P$16&lt;4,0,E60)</f>
        <v>7</v>
      </c>
      <c r="P35" s="4">
        <f>IF($P$16&lt;4,0,J60)</f>
        <v>7</v>
      </c>
      <c r="Q35" s="4">
        <f>IF($P$16&lt;4,0,O60)</f>
        <v>3</v>
      </c>
      <c r="R35" s="4">
        <f>IF(OR($P$5&lt;4,$P$16&lt;4),0,T60)</f>
        <v>5</v>
      </c>
      <c r="S35" s="4">
        <f>IF(OR($P$5&lt;5,$P$16&lt;4),0,Y60)</f>
        <v>4</v>
      </c>
      <c r="T35" s="4">
        <f>IF(OR($P$5&lt;6,$P$16&lt;4),0,AD60)</f>
        <v>7</v>
      </c>
      <c r="U35" s="4">
        <f>IF(OR($P$5&lt;7,$P$16&lt;4),0,AI60)</f>
        <v>4</v>
      </c>
      <c r="V35" s="4"/>
      <c r="W35" s="4"/>
      <c r="X35" s="4"/>
      <c r="Y35" s="4">
        <f t="shared" si="1"/>
        <v>1.75</v>
      </c>
      <c r="Z35" s="4">
        <f t="shared" si="1"/>
        <v>1.75</v>
      </c>
      <c r="AA35" s="4">
        <f t="shared" si="1"/>
        <v>0.75</v>
      </c>
      <c r="AB35" s="4">
        <f t="shared" si="1"/>
        <v>1.25</v>
      </c>
      <c r="AC35" s="4">
        <f t="shared" si="1"/>
        <v>1</v>
      </c>
      <c r="AD35" s="4">
        <f t="shared" si="1"/>
        <v>1.75</v>
      </c>
      <c r="AE35" s="4">
        <f t="shared" si="1"/>
        <v>1</v>
      </c>
      <c r="AF35" s="4"/>
      <c r="AG35" s="4" t="str">
        <f>$AC$31</f>
        <v>Marca 5</v>
      </c>
      <c r="AH35" s="4">
        <f>$AC$37</f>
        <v>4.4000000000000004</v>
      </c>
      <c r="AI35" s="4">
        <f>AH35+0.000000003</f>
        <v>4.4000000030000006</v>
      </c>
      <c r="AJ35" s="4">
        <f t="shared" si="2"/>
        <v>7</v>
      </c>
      <c r="AK35" s="4" t="str">
        <f t="shared" si="3"/>
        <v>Marca 5</v>
      </c>
      <c r="AL35" s="4">
        <f t="shared" si="3"/>
        <v>4.4000000000000004</v>
      </c>
      <c r="AM35" s="4"/>
    </row>
    <row r="36" spans="2:39" ht="15" thickBot="1">
      <c r="B36" s="10" t="str">
        <f>IF($P$16&lt;5," ",F23)</f>
        <v>Criterio 5</v>
      </c>
      <c r="C36" s="35"/>
      <c r="D36" s="36">
        <v>0.1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4">
        <f>IF($P$16&lt;5,0,E65)</f>
        <v>1</v>
      </c>
      <c r="P36" s="4">
        <f>IF($P$16&lt;5,0,J65)</f>
        <v>4</v>
      </c>
      <c r="Q36" s="4">
        <f>IF($P$16&lt;5,0,O65)</f>
        <v>2</v>
      </c>
      <c r="R36" s="4">
        <f>IF(OR($P$5&lt;4,$P$16&lt;5),0,T65)</f>
        <v>5</v>
      </c>
      <c r="S36" s="4">
        <f>IF(OR($P$5&lt;5,$P$16&lt;5),0,Y65)</f>
        <v>6</v>
      </c>
      <c r="T36" s="4">
        <f>IF(OR($P$5&lt;6,$P$16&lt;5),0,AD65)</f>
        <v>7</v>
      </c>
      <c r="U36" s="4">
        <f>IF(OR($P$5&lt;7,$P$16&lt;5),0,AI65)</f>
        <v>3</v>
      </c>
      <c r="V36" s="4"/>
      <c r="W36" s="4"/>
      <c r="X36" s="4"/>
      <c r="Y36" s="4">
        <f t="shared" si="1"/>
        <v>0.1</v>
      </c>
      <c r="Z36" s="4">
        <f t="shared" si="1"/>
        <v>0.4</v>
      </c>
      <c r="AA36" s="4">
        <f t="shared" si="1"/>
        <v>0.2</v>
      </c>
      <c r="AB36" s="4">
        <f t="shared" si="1"/>
        <v>0.5</v>
      </c>
      <c r="AC36" s="4">
        <f t="shared" si="1"/>
        <v>0.60000000000000009</v>
      </c>
      <c r="AD36" s="4">
        <f t="shared" si="1"/>
        <v>0.70000000000000007</v>
      </c>
      <c r="AE36" s="4">
        <f t="shared" si="1"/>
        <v>0.30000000000000004</v>
      </c>
      <c r="AF36" s="4"/>
      <c r="AG36" s="4" t="str">
        <f>$AD$31</f>
        <v>Marca 6</v>
      </c>
      <c r="AH36" s="4">
        <f>$AD$37</f>
        <v>5.7500000000000009</v>
      </c>
      <c r="AI36" s="4">
        <f>AH36+0.000000002</f>
        <v>5.7500000020000011</v>
      </c>
      <c r="AJ36" s="4">
        <f t="shared" si="2"/>
        <v>2</v>
      </c>
      <c r="AK36" s="4" t="str">
        <f t="shared" si="3"/>
        <v>Marca 6</v>
      </c>
      <c r="AL36" s="4">
        <f t="shared" si="3"/>
        <v>5.7500000000000009</v>
      </c>
      <c r="AM36" s="4"/>
    </row>
    <row r="37" spans="2:39" ht="16" thickBot="1">
      <c r="B37" s="12"/>
      <c r="D37" s="37">
        <f>SUM(D32:D36)</f>
        <v>1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13">
        <f>SUM(Y32:Y36)</f>
        <v>4.5</v>
      </c>
      <c r="Z37" s="13">
        <f t="shared" ref="Z37:AE37" si="4">SUM(Z32:Z36)</f>
        <v>5.9500000000000011</v>
      </c>
      <c r="AA37" s="13">
        <f t="shared" si="4"/>
        <v>4.4000000000000004</v>
      </c>
      <c r="AB37" s="13">
        <f t="shared" si="4"/>
        <v>5.7</v>
      </c>
      <c r="AC37" s="13">
        <f t="shared" si="4"/>
        <v>4.4000000000000004</v>
      </c>
      <c r="AD37" s="13">
        <f t="shared" si="4"/>
        <v>5.7500000000000009</v>
      </c>
      <c r="AE37" s="13">
        <f t="shared" si="4"/>
        <v>5.3999999999999995</v>
      </c>
      <c r="AF37" s="4"/>
      <c r="AG37" s="4" t="str">
        <f>$AE$31</f>
        <v>Marca 7</v>
      </c>
      <c r="AH37" s="4">
        <f>$AE$37</f>
        <v>5.3999999999999995</v>
      </c>
      <c r="AI37" s="4">
        <f>AH37+0.000000001</f>
        <v>5.4000000009999995</v>
      </c>
      <c r="AJ37" s="4">
        <f t="shared" si="2"/>
        <v>4</v>
      </c>
      <c r="AK37" s="4" t="str">
        <f t="shared" si="3"/>
        <v>Marca 7</v>
      </c>
      <c r="AL37" s="4">
        <f t="shared" si="3"/>
        <v>5.3999999999999995</v>
      </c>
      <c r="AM37" s="4"/>
    </row>
    <row r="38" spans="2:39" ht="14"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2:39" ht="14" customHeight="1">
      <c r="J39" s="1"/>
      <c r="K39" s="1"/>
      <c r="L39" s="1"/>
      <c r="M39" s="1"/>
    </row>
    <row r="40" spans="2:39" ht="14" customHeight="1">
      <c r="B40" s="5"/>
      <c r="I40" s="1"/>
      <c r="J40" s="1"/>
      <c r="K40" s="1"/>
      <c r="L40" s="1"/>
      <c r="M40" s="1"/>
    </row>
    <row r="41" spans="2:39" ht="21" customHeight="1">
      <c r="B41" s="7" t="s">
        <v>21</v>
      </c>
      <c r="I41" s="1"/>
      <c r="J41" s="1"/>
      <c r="K41" s="1"/>
      <c r="L41" s="1"/>
      <c r="M41" s="1"/>
    </row>
    <row r="42" spans="2:39" ht="14" customHeight="1">
      <c r="B42" s="157" t="str">
        <f>$H$27</f>
        <v>1 es la peor puntuación; 5 la mayor puntuación</v>
      </c>
      <c r="C42" s="157"/>
      <c r="D42" s="157"/>
      <c r="E42" s="157"/>
      <c r="F42" s="157"/>
      <c r="G42" s="157"/>
      <c r="I42" s="1"/>
      <c r="J42" s="1"/>
      <c r="K42" s="1"/>
      <c r="L42" s="1"/>
      <c r="M42" s="1"/>
    </row>
    <row r="43" spans="2:39" ht="14" customHeight="1">
      <c r="B43" s="5"/>
      <c r="I43" s="1"/>
      <c r="J43" s="1"/>
      <c r="K43" s="1"/>
      <c r="L43" s="1"/>
      <c r="M43" s="1"/>
    </row>
    <row r="44" spans="2:39" ht="14.5" customHeight="1" thickBot="1">
      <c r="I44" s="38"/>
      <c r="J44" s="1"/>
      <c r="K44" s="1"/>
      <c r="L44" s="1"/>
      <c r="M44" s="1"/>
    </row>
    <row r="45" spans="2:39" ht="14" customHeight="1">
      <c r="B45" s="136" t="str">
        <f>"¿Qué puntuación le pondrías a "&amp;$O$31&amp;" en el criterio "&amp;$B$32&amp;"?"</f>
        <v>¿Qué puntuación le pondrías a Marca 1 en el criterio Criterio 1?</v>
      </c>
      <c r="C45" s="137"/>
      <c r="D45" s="138"/>
      <c r="E45" s="145">
        <v>5</v>
      </c>
      <c r="G45" s="136" t="str">
        <f>"¿Qué puntuación le pondrías a "&amp;$P$31&amp;" en el criterio "&amp;$B$32&amp;"?"</f>
        <v>¿Qué puntuación le pondrías a Marca 2 en el criterio Criterio 1?</v>
      </c>
      <c r="H45" s="137"/>
      <c r="I45" s="138"/>
      <c r="J45" s="145">
        <v>4</v>
      </c>
      <c r="L45" s="136" t="str">
        <f>"¿Qué puntuación le pondrías a "&amp;$Q$31&amp;" en el criterio "&amp;$B$32&amp;"?"</f>
        <v>¿Qué puntuación le pondrías a Marca 3 en el criterio Criterio 1?</v>
      </c>
      <c r="M45" s="137"/>
      <c r="N45" s="138"/>
      <c r="O45" s="145">
        <v>6</v>
      </c>
      <c r="Q45" s="136" t="str">
        <f>"¿Qué puntuación le pondrías a "&amp;$R$31&amp;" en el criterio "&amp;$B$32&amp;"?"</f>
        <v>¿Qué puntuación le pondrías a Marca 4 en el criterio Criterio 1?</v>
      </c>
      <c r="R45" s="137"/>
      <c r="S45" s="138"/>
      <c r="T45" s="145">
        <v>7</v>
      </c>
      <c r="V45" s="136" t="str">
        <f>"¿Qué puntuación le pondrías a "&amp;$S$31&amp;" en el criterio "&amp;$B$32&amp;"?"</f>
        <v>¿Qué puntuación le pondrías a Marca 5 en el criterio Criterio 1?</v>
      </c>
      <c r="W45" s="137"/>
      <c r="X45" s="138"/>
      <c r="Y45" s="145">
        <v>5</v>
      </c>
      <c r="AA45" s="136" t="str">
        <f>"¿Qué puntuación le pondrías a  "&amp;$T$31&amp;" en el criterio "&amp;$B$32&amp;"?"</f>
        <v>¿Qué puntuación le pondrías a  Marca 6 en el criterio Criterio 1?</v>
      </c>
      <c r="AB45" s="137"/>
      <c r="AC45" s="138"/>
      <c r="AD45" s="145">
        <v>6</v>
      </c>
      <c r="AF45" s="136" t="str">
        <f>"¿Qué puntuación le pondrías a  "&amp;$U$31&amp;" en el criterio "&amp;$B$32&amp;"?"</f>
        <v>¿Qué puntuación le pondrías a  Marca 7 en el criterio Criterio 1?</v>
      </c>
      <c r="AG45" s="137"/>
      <c r="AH45" s="138"/>
      <c r="AI45" s="145">
        <v>7</v>
      </c>
    </row>
    <row r="46" spans="2:39" ht="14.5" customHeight="1">
      <c r="B46" s="139"/>
      <c r="C46" s="140"/>
      <c r="D46" s="141"/>
      <c r="E46" s="146"/>
      <c r="G46" s="139"/>
      <c r="H46" s="140"/>
      <c r="I46" s="141"/>
      <c r="J46" s="146"/>
      <c r="L46" s="139"/>
      <c r="M46" s="140"/>
      <c r="N46" s="141"/>
      <c r="O46" s="146"/>
      <c r="Q46" s="139"/>
      <c r="R46" s="140"/>
      <c r="S46" s="141"/>
      <c r="T46" s="146"/>
      <c r="V46" s="139"/>
      <c r="W46" s="140"/>
      <c r="X46" s="141"/>
      <c r="Y46" s="146"/>
      <c r="AA46" s="139"/>
      <c r="AB46" s="140"/>
      <c r="AC46" s="141"/>
      <c r="AD46" s="146"/>
      <c r="AF46" s="139"/>
      <c r="AG46" s="140"/>
      <c r="AH46" s="141"/>
      <c r="AI46" s="146"/>
    </row>
    <row r="47" spans="2:39" ht="15" customHeight="1" thickBot="1">
      <c r="B47" s="142"/>
      <c r="C47" s="143"/>
      <c r="D47" s="144"/>
      <c r="E47" s="147"/>
      <c r="G47" s="142"/>
      <c r="H47" s="143"/>
      <c r="I47" s="144"/>
      <c r="J47" s="147"/>
      <c r="L47" s="142"/>
      <c r="M47" s="143"/>
      <c r="N47" s="144"/>
      <c r="O47" s="147"/>
      <c r="Q47" s="142"/>
      <c r="R47" s="143"/>
      <c r="S47" s="144"/>
      <c r="T47" s="147"/>
      <c r="V47" s="142"/>
      <c r="W47" s="143"/>
      <c r="X47" s="144"/>
      <c r="Y47" s="147"/>
      <c r="AA47" s="142"/>
      <c r="AB47" s="143"/>
      <c r="AC47" s="144"/>
      <c r="AD47" s="147"/>
      <c r="AF47" s="142"/>
      <c r="AG47" s="143"/>
      <c r="AH47" s="144"/>
      <c r="AI47" s="147"/>
    </row>
    <row r="48" spans="2:39" ht="14"/>
    <row r="49" spans="2:35" ht="15" thickBot="1"/>
    <row r="50" spans="2:35" ht="14.25" customHeight="1">
      <c r="B50" s="136" t="str">
        <f>"¿Qué puntuación le pondrías a "&amp;$O$31&amp;" en el criterio "&amp;$B$33&amp;"?"</f>
        <v>¿Qué puntuación le pondrías a Marca 1 en el criterio Criterio 2?</v>
      </c>
      <c r="C50" s="137"/>
      <c r="D50" s="138"/>
      <c r="E50" s="145">
        <v>3</v>
      </c>
      <c r="G50" s="136" t="str">
        <f>"¿Qué puntuación le pondrías a "&amp;$P$31&amp;" en el criterio "&amp;$B$33&amp;"?"</f>
        <v>¿Qué puntuación le pondrías a Marca 2 en el criterio Criterio 2?</v>
      </c>
      <c r="H50" s="137"/>
      <c r="I50" s="138"/>
      <c r="J50" s="145">
        <v>7</v>
      </c>
      <c r="L50" s="136" t="str">
        <f>"¿Qué puntuación le pondrías a "&amp;$Q$31&amp;" en el criterio "&amp;$B$33&amp;"?"</f>
        <v>¿Qué puntuación le pondrías a Marca 3 en el criterio Criterio 2?</v>
      </c>
      <c r="M50" s="137"/>
      <c r="N50" s="138"/>
      <c r="O50" s="145">
        <v>4</v>
      </c>
      <c r="Q50" s="136" t="str">
        <f>"¿Qué puntuación le pondrías a "&amp;$R$31&amp;" en el criterio "&amp;$B$33&amp;"?"</f>
        <v>¿Qué puntuación le pondrías a Marca 4 en el criterio Criterio 2?</v>
      </c>
      <c r="R50" s="137"/>
      <c r="S50" s="138"/>
      <c r="T50" s="145">
        <v>6</v>
      </c>
      <c r="V50" s="136" t="str">
        <f>"¿Qué puntuación le pondrías a "&amp;$S$31&amp;" en el criterio "&amp;$B$33&amp;"?"</f>
        <v>¿Qué puntuación le pondrías a Marca 5 en el criterio Criterio 2?</v>
      </c>
      <c r="W50" s="137"/>
      <c r="X50" s="138"/>
      <c r="Y50" s="145">
        <v>5</v>
      </c>
      <c r="AA50" s="136" t="str">
        <f>"¿Qué puntuación le pondrías a  "&amp;$T$31&amp;" en el criterio "&amp;$B$33&amp;"?"</f>
        <v>¿Qué puntuación le pondrías a  Marca 6 en el criterio Criterio 2?</v>
      </c>
      <c r="AB50" s="137"/>
      <c r="AC50" s="138"/>
      <c r="AD50" s="145">
        <v>5</v>
      </c>
      <c r="AF50" s="136" t="str">
        <f>"¿Qué puntuación le pondrías a  "&amp;$U$31&amp;" en el criterio "&amp;$B$33&amp;"?"</f>
        <v>¿Qué puntuación le pondrías a  Marca 7 en el criterio Criterio 2?</v>
      </c>
      <c r="AG50" s="137"/>
      <c r="AH50" s="138"/>
      <c r="AI50" s="145">
        <v>6</v>
      </c>
    </row>
    <row r="51" spans="2:35" ht="14.25" customHeight="1">
      <c r="B51" s="139"/>
      <c r="C51" s="140"/>
      <c r="D51" s="141"/>
      <c r="E51" s="146"/>
      <c r="G51" s="139"/>
      <c r="H51" s="140"/>
      <c r="I51" s="141"/>
      <c r="J51" s="146"/>
      <c r="L51" s="139"/>
      <c r="M51" s="140"/>
      <c r="N51" s="141"/>
      <c r="O51" s="146"/>
      <c r="Q51" s="139"/>
      <c r="R51" s="140"/>
      <c r="S51" s="141"/>
      <c r="T51" s="146"/>
      <c r="V51" s="139"/>
      <c r="W51" s="140"/>
      <c r="X51" s="141"/>
      <c r="Y51" s="146"/>
      <c r="AA51" s="139"/>
      <c r="AB51" s="140"/>
      <c r="AC51" s="141"/>
      <c r="AD51" s="146"/>
      <c r="AF51" s="139"/>
      <c r="AG51" s="140"/>
      <c r="AH51" s="141"/>
      <c r="AI51" s="146"/>
    </row>
    <row r="52" spans="2:35" ht="15" customHeight="1" thickBot="1">
      <c r="B52" s="142"/>
      <c r="C52" s="143"/>
      <c r="D52" s="144"/>
      <c r="E52" s="147"/>
      <c r="G52" s="142"/>
      <c r="H52" s="143"/>
      <c r="I52" s="144"/>
      <c r="J52" s="147"/>
      <c r="L52" s="142"/>
      <c r="M52" s="143"/>
      <c r="N52" s="144"/>
      <c r="O52" s="147"/>
      <c r="Q52" s="142"/>
      <c r="R52" s="143"/>
      <c r="S52" s="144"/>
      <c r="T52" s="147"/>
      <c r="V52" s="142"/>
      <c r="W52" s="143"/>
      <c r="X52" s="144"/>
      <c r="Y52" s="147"/>
      <c r="AA52" s="142"/>
      <c r="AB52" s="143"/>
      <c r="AC52" s="144"/>
      <c r="AD52" s="147"/>
      <c r="AF52" s="142"/>
      <c r="AG52" s="143"/>
      <c r="AH52" s="144"/>
      <c r="AI52" s="147"/>
    </row>
    <row r="53" spans="2:35" ht="14"/>
    <row r="54" spans="2:35" ht="15" thickBot="1"/>
    <row r="55" spans="2:35" ht="14" customHeight="1">
      <c r="B55" s="136" t="str">
        <f>"¿Qué puntuación le pondrías a "&amp;$O$31&amp;" en el criterio "&amp;$B$34&amp;"?"</f>
        <v>¿Qué puntuación le pondrías a Marca 1 en el criterio Criterio 3?</v>
      </c>
      <c r="C55" s="137"/>
      <c r="D55" s="138"/>
      <c r="E55" s="145">
        <v>5</v>
      </c>
      <c r="G55" s="136" t="str">
        <f>"¿Qué puntuación le pondrías a "&amp;$P$31&amp;" en el criterio "&amp;$B$34&amp;"?"</f>
        <v>¿Qué puntuación le pondrías a Marca 2 en el criterio Criterio 3?</v>
      </c>
      <c r="H55" s="137"/>
      <c r="I55" s="138"/>
      <c r="J55" s="145">
        <v>6</v>
      </c>
      <c r="L55" s="136" t="str">
        <f>"¿Qué puntuación le pondrías a "&amp;$Q$31&amp;" en el criterio "&amp;$B$34&amp;"?"</f>
        <v>¿Qué puntuación le pondrías a Marca 3 en el criterio Criterio 3?</v>
      </c>
      <c r="M55" s="137"/>
      <c r="N55" s="138"/>
      <c r="O55" s="145">
        <v>7</v>
      </c>
      <c r="Q55" s="136" t="str">
        <f>"¿Qué puntuación le pondrías a "&amp;$R$31&amp;" en el criterio "&amp;$B$34&amp;"?"</f>
        <v>¿Qué puntuación le pondrías a Marca 4 en el criterio Criterio 3?</v>
      </c>
      <c r="R55" s="137"/>
      <c r="S55" s="138"/>
      <c r="T55" s="145">
        <v>5</v>
      </c>
      <c r="V55" s="136" t="str">
        <f>"¿Qué puntuación le pondrías a "&amp;$S$31&amp;" en el criterio "&amp;$B$34&amp;"?"</f>
        <v>¿Qué puntuación le pondrías a Marca 5 en el criterio Criterio 3?</v>
      </c>
      <c r="W55" s="137"/>
      <c r="X55" s="138"/>
      <c r="Y55" s="145">
        <v>2</v>
      </c>
      <c r="AA55" s="136" t="str">
        <f>"¿Qué puntuación le pondrías a  "&amp;$T$31&amp;" en el criterio "&amp;$B$34&amp;"?"</f>
        <v>¿Qué puntuación le pondrías a  Marca 6 en el criterio Criterio 3?</v>
      </c>
      <c r="AB55" s="137"/>
      <c r="AC55" s="138"/>
      <c r="AD55" s="145">
        <v>4</v>
      </c>
      <c r="AF55" s="136" t="str">
        <f>"¿Qué puntuación le pondrías a  "&amp;$U$31&amp;" en el criterio "&amp;$B$34&amp;"?"</f>
        <v>¿Qué puntuación le pondrías a  Marca 7 en el criterio Criterio 3?</v>
      </c>
      <c r="AG55" s="137"/>
      <c r="AH55" s="138"/>
      <c r="AI55" s="145">
        <v>6</v>
      </c>
    </row>
    <row r="56" spans="2:35" ht="14.25" customHeight="1">
      <c r="B56" s="139"/>
      <c r="C56" s="140"/>
      <c r="D56" s="141"/>
      <c r="E56" s="146"/>
      <c r="G56" s="139"/>
      <c r="H56" s="140"/>
      <c r="I56" s="141"/>
      <c r="J56" s="146"/>
      <c r="L56" s="139"/>
      <c r="M56" s="140"/>
      <c r="N56" s="141"/>
      <c r="O56" s="146"/>
      <c r="Q56" s="139"/>
      <c r="R56" s="140"/>
      <c r="S56" s="141"/>
      <c r="T56" s="146"/>
      <c r="V56" s="139"/>
      <c r="W56" s="140"/>
      <c r="X56" s="141"/>
      <c r="Y56" s="146"/>
      <c r="AA56" s="139"/>
      <c r="AB56" s="140"/>
      <c r="AC56" s="141"/>
      <c r="AD56" s="146"/>
      <c r="AF56" s="139"/>
      <c r="AG56" s="140"/>
      <c r="AH56" s="141"/>
      <c r="AI56" s="146"/>
    </row>
    <row r="57" spans="2:35" ht="15" customHeight="1" thickBot="1">
      <c r="B57" s="142"/>
      <c r="C57" s="143"/>
      <c r="D57" s="144"/>
      <c r="E57" s="147"/>
      <c r="G57" s="142"/>
      <c r="H57" s="143"/>
      <c r="I57" s="144"/>
      <c r="J57" s="147"/>
      <c r="L57" s="142"/>
      <c r="M57" s="143"/>
      <c r="N57" s="144"/>
      <c r="O57" s="147"/>
      <c r="Q57" s="142"/>
      <c r="R57" s="143"/>
      <c r="S57" s="144"/>
      <c r="T57" s="147"/>
      <c r="V57" s="142"/>
      <c r="W57" s="143"/>
      <c r="X57" s="144"/>
      <c r="Y57" s="147"/>
      <c r="AA57" s="142"/>
      <c r="AB57" s="143"/>
      <c r="AC57" s="144"/>
      <c r="AD57" s="147"/>
      <c r="AF57" s="142"/>
      <c r="AG57" s="143"/>
      <c r="AH57" s="144"/>
      <c r="AI57" s="147"/>
    </row>
    <row r="58" spans="2:35" ht="14"/>
    <row r="59" spans="2:35" ht="15" thickBot="1"/>
    <row r="60" spans="2:35" ht="14" customHeight="1">
      <c r="B60" s="136" t="str">
        <f>"¿Qué puntuación le pondrías a "&amp;$O$31&amp;" en el criterio "&amp;$B$35&amp;"?"</f>
        <v>¿Qué puntuación le pondrías a Marca 1 en el criterio Criterio 4?</v>
      </c>
      <c r="C60" s="137"/>
      <c r="D60" s="138"/>
      <c r="E60" s="145">
        <v>7</v>
      </c>
      <c r="G60" s="136" t="str">
        <f>"¿Qué puntuación le pondrías a "&amp;$P$31&amp;" en el criterio "&amp;$B$35&amp;"?"</f>
        <v>¿Qué puntuación le pondrías a Marca 2 en el criterio Criterio 4?</v>
      </c>
      <c r="H60" s="137"/>
      <c r="I60" s="138"/>
      <c r="J60" s="145">
        <v>7</v>
      </c>
      <c r="L60" s="136" t="str">
        <f>"¿Qué puntuación le pondrías a "&amp;$Q$31&amp;" en el criterio "&amp;$B$35&amp;"?"</f>
        <v>¿Qué puntuación le pondrías a Marca 3 en el criterio Criterio 4?</v>
      </c>
      <c r="M60" s="137"/>
      <c r="N60" s="138"/>
      <c r="O60" s="145">
        <v>3</v>
      </c>
      <c r="Q60" s="136" t="str">
        <f>"¿Qué puntuación le pondrías a "&amp;$R$31&amp;" en el criterio "&amp;$B$35&amp;"?"</f>
        <v>¿Qué puntuación le pondrías a Marca 4 en el criterio Criterio 4?</v>
      </c>
      <c r="R60" s="137"/>
      <c r="S60" s="138"/>
      <c r="T60" s="145">
        <v>5</v>
      </c>
      <c r="V60" s="136" t="str">
        <f>"¿Qué puntuación le pondrías a "&amp;$S$31&amp;" en el criterio "&amp;$B$35&amp;"?"</f>
        <v>¿Qué puntuación le pondrías a Marca 5 en el criterio Criterio 4?</v>
      </c>
      <c r="W60" s="137"/>
      <c r="X60" s="138"/>
      <c r="Y60" s="145">
        <v>4</v>
      </c>
      <c r="AA60" s="136" t="str">
        <f>"¿Qué puntuación le pondrías a  "&amp;$T$31&amp;" en el criterio "&amp;$B$35&amp;"?"</f>
        <v>¿Qué puntuación le pondrías a  Marca 6 en el criterio Criterio 4?</v>
      </c>
      <c r="AB60" s="137"/>
      <c r="AC60" s="138"/>
      <c r="AD60" s="145">
        <v>7</v>
      </c>
      <c r="AF60" s="136" t="str">
        <f>"¿Qué puntuación le pondrías a  "&amp;$U$31&amp;" en el criterio "&amp;$B$35&amp;"?"</f>
        <v>¿Qué puntuación le pondrías a  Marca 7 en el criterio Criterio 4?</v>
      </c>
      <c r="AG60" s="137"/>
      <c r="AH60" s="138"/>
      <c r="AI60" s="145">
        <v>4</v>
      </c>
    </row>
    <row r="61" spans="2:35" ht="14.25" customHeight="1">
      <c r="B61" s="139"/>
      <c r="C61" s="140"/>
      <c r="D61" s="141"/>
      <c r="E61" s="146"/>
      <c r="G61" s="139"/>
      <c r="H61" s="140"/>
      <c r="I61" s="141"/>
      <c r="J61" s="146"/>
      <c r="L61" s="139"/>
      <c r="M61" s="140"/>
      <c r="N61" s="141"/>
      <c r="O61" s="146"/>
      <c r="Q61" s="139"/>
      <c r="R61" s="140"/>
      <c r="S61" s="141"/>
      <c r="T61" s="146"/>
      <c r="V61" s="139"/>
      <c r="W61" s="140"/>
      <c r="X61" s="141"/>
      <c r="Y61" s="146"/>
      <c r="AA61" s="139"/>
      <c r="AB61" s="140"/>
      <c r="AC61" s="141"/>
      <c r="AD61" s="146"/>
      <c r="AF61" s="139"/>
      <c r="AG61" s="140"/>
      <c r="AH61" s="141"/>
      <c r="AI61" s="146"/>
    </row>
    <row r="62" spans="2:35" ht="15" customHeight="1" thickBot="1">
      <c r="B62" s="142"/>
      <c r="C62" s="143"/>
      <c r="D62" s="144"/>
      <c r="E62" s="147"/>
      <c r="G62" s="142"/>
      <c r="H62" s="143"/>
      <c r="I62" s="144"/>
      <c r="J62" s="147"/>
      <c r="L62" s="142"/>
      <c r="M62" s="143"/>
      <c r="N62" s="144"/>
      <c r="O62" s="147"/>
      <c r="Q62" s="142"/>
      <c r="R62" s="143"/>
      <c r="S62" s="144"/>
      <c r="T62" s="147"/>
      <c r="V62" s="142"/>
      <c r="W62" s="143"/>
      <c r="X62" s="144"/>
      <c r="Y62" s="147"/>
      <c r="AA62" s="142"/>
      <c r="AB62" s="143"/>
      <c r="AC62" s="144"/>
      <c r="AD62" s="147"/>
      <c r="AF62" s="142"/>
      <c r="AG62" s="143"/>
      <c r="AH62" s="144"/>
      <c r="AI62" s="147"/>
    </row>
    <row r="63" spans="2:35" ht="14"/>
    <row r="64" spans="2:35" ht="15" thickBot="1"/>
    <row r="65" spans="2:35" ht="14.25" customHeight="1">
      <c r="B65" s="136" t="str">
        <f>"¿Qué puntuación le pondrías a  "&amp;$O$31&amp;" en el criterio "&amp;$B$35&amp;"?"</f>
        <v>¿Qué puntuación le pondrías a  Marca 1 en el criterio Criterio 4?</v>
      </c>
      <c r="C65" s="137"/>
      <c r="D65" s="138"/>
      <c r="E65" s="145">
        <v>1</v>
      </c>
      <c r="G65" s="136" t="str">
        <f>"¿Qué puntuación le pondrías a  "&amp;$P$31&amp;" en el criterio "&amp;$B$35&amp;"?"</f>
        <v>¿Qué puntuación le pondrías a  Marca 2 en el criterio Criterio 4?</v>
      </c>
      <c r="H65" s="137"/>
      <c r="I65" s="138"/>
      <c r="J65" s="145">
        <v>4</v>
      </c>
      <c r="L65" s="136" t="str">
        <f>"¿Qué puntuación le pondrías a  "&amp;$Q$31&amp;" en el criterio "&amp;$B$35&amp;"?"</f>
        <v>¿Qué puntuación le pondrías a  Marca 3 en el criterio Criterio 4?</v>
      </c>
      <c r="M65" s="137"/>
      <c r="N65" s="138"/>
      <c r="O65" s="145">
        <v>2</v>
      </c>
      <c r="Q65" s="136" t="str">
        <f>"¿Qué puntuación le pondrías a  "&amp;$R$31&amp;" en el criterio "&amp;$B$35&amp;"?"</f>
        <v>¿Qué puntuación le pondrías a  Marca 4 en el criterio Criterio 4?</v>
      </c>
      <c r="R65" s="137"/>
      <c r="S65" s="138"/>
      <c r="T65" s="145">
        <v>5</v>
      </c>
      <c r="V65" s="136" t="str">
        <f>"¿Qué puntuación le pondrías a  "&amp;$S$31&amp;" en el criterio "&amp;$B$35&amp;"?"</f>
        <v>¿Qué puntuación le pondrías a  Marca 5 en el criterio Criterio 4?</v>
      </c>
      <c r="W65" s="137"/>
      <c r="X65" s="138"/>
      <c r="Y65" s="145">
        <v>6</v>
      </c>
      <c r="AA65" s="136" t="str">
        <f>"¿Qué puntuación le pondrías a  "&amp;$T$31&amp;" en el criterio "&amp;$B$35&amp;"?"</f>
        <v>¿Qué puntuación le pondrías a  Marca 6 en el criterio Criterio 4?</v>
      </c>
      <c r="AB65" s="137"/>
      <c r="AC65" s="138"/>
      <c r="AD65" s="145">
        <v>7</v>
      </c>
      <c r="AF65" s="136" t="str">
        <f>"¿Qué puntuación le pondrías a  "&amp;$U$31&amp;" en el criterio "&amp;$B$35&amp;"?"</f>
        <v>¿Qué puntuación le pondrías a  Marca 7 en el criterio Criterio 4?</v>
      </c>
      <c r="AG65" s="137"/>
      <c r="AH65" s="138"/>
      <c r="AI65" s="145">
        <v>3</v>
      </c>
    </row>
    <row r="66" spans="2:35" ht="14.25" customHeight="1">
      <c r="B66" s="139"/>
      <c r="C66" s="140"/>
      <c r="D66" s="141"/>
      <c r="E66" s="146"/>
      <c r="G66" s="139"/>
      <c r="H66" s="140"/>
      <c r="I66" s="141"/>
      <c r="J66" s="146"/>
      <c r="L66" s="139"/>
      <c r="M66" s="140"/>
      <c r="N66" s="141"/>
      <c r="O66" s="146"/>
      <c r="Q66" s="139"/>
      <c r="R66" s="140"/>
      <c r="S66" s="141"/>
      <c r="T66" s="146"/>
      <c r="V66" s="139"/>
      <c r="W66" s="140"/>
      <c r="X66" s="141"/>
      <c r="Y66" s="146"/>
      <c r="AA66" s="139"/>
      <c r="AB66" s="140"/>
      <c r="AC66" s="141"/>
      <c r="AD66" s="146"/>
      <c r="AF66" s="139"/>
      <c r="AG66" s="140"/>
      <c r="AH66" s="141"/>
      <c r="AI66" s="146"/>
    </row>
    <row r="67" spans="2:35" ht="15" customHeight="1" thickBot="1">
      <c r="B67" s="142"/>
      <c r="C67" s="143"/>
      <c r="D67" s="144"/>
      <c r="E67" s="147"/>
      <c r="G67" s="142"/>
      <c r="H67" s="143"/>
      <c r="I67" s="144"/>
      <c r="J67" s="147"/>
      <c r="L67" s="142"/>
      <c r="M67" s="143"/>
      <c r="N67" s="144"/>
      <c r="O67" s="147"/>
      <c r="Q67" s="142"/>
      <c r="R67" s="143"/>
      <c r="S67" s="144"/>
      <c r="T67" s="147"/>
      <c r="V67" s="142"/>
      <c r="W67" s="143"/>
      <c r="X67" s="144"/>
      <c r="Y67" s="147"/>
      <c r="AA67" s="142"/>
      <c r="AB67" s="143"/>
      <c r="AC67" s="144"/>
      <c r="AD67" s="147"/>
      <c r="AF67" s="142"/>
      <c r="AG67" s="143"/>
      <c r="AH67" s="144"/>
      <c r="AI67" s="147"/>
    </row>
    <row r="68" spans="2:35" ht="14"/>
    <row r="69" spans="2:35" ht="14"/>
    <row r="70" spans="2:35" ht="15">
      <c r="B70" s="39"/>
    </row>
    <row r="71" spans="2:35" ht="15">
      <c r="B71" s="39"/>
    </row>
    <row r="72" spans="2:35" ht="15">
      <c r="B72" s="39"/>
    </row>
    <row r="73" spans="2:35" ht="15">
      <c r="B73" s="25" t="s">
        <v>17</v>
      </c>
    </row>
    <row r="74" spans="2:35" ht="15" thickBot="1"/>
    <row r="75" spans="2:35" ht="24" thickBot="1">
      <c r="B75" s="40" t="s">
        <v>11</v>
      </c>
      <c r="C75" s="41"/>
      <c r="D75" s="42" t="s">
        <v>12</v>
      </c>
      <c r="E75" s="43"/>
    </row>
    <row r="76" spans="2:35" ht="23">
      <c r="B76" s="44" t="str">
        <f>VLOOKUP(1,$AJ$31:$AL$37,2,0)</f>
        <v>Marca 2</v>
      </c>
      <c r="E76" s="45">
        <f>VLOOKUP(1,$AJ$31:$AL$37,3,0)</f>
        <v>5.9500000000000011</v>
      </c>
    </row>
    <row r="77" spans="2:35" ht="23">
      <c r="B77" s="44" t="str">
        <f>VLOOKUP(2,$AJ$31:$AL$37,2,0)</f>
        <v>Marca 6</v>
      </c>
      <c r="E77" s="45">
        <f>VLOOKUP(2,$AJ$31:$AL$37,3,0)</f>
        <v>5.7500000000000009</v>
      </c>
    </row>
    <row r="78" spans="2:35" ht="23">
      <c r="B78" s="44" t="str">
        <f>VLOOKUP(3,$AJ$31:$AL$37,2,0)</f>
        <v>Marca 4</v>
      </c>
      <c r="E78" s="45">
        <f>VLOOKUP(3,$AJ$31:$AL$37,3,0)</f>
        <v>5.7</v>
      </c>
    </row>
    <row r="79" spans="2:35" ht="23">
      <c r="B79" s="44" t="str">
        <f>VLOOKUP(4,$AJ$31:$AL$37,2,0)</f>
        <v>Marca 7</v>
      </c>
      <c r="E79" s="45">
        <f>VLOOKUP(4,$AJ$31:$AL$37,3,0)</f>
        <v>5.3999999999999995</v>
      </c>
    </row>
    <row r="80" spans="2:35" ht="23">
      <c r="B80" s="44" t="str">
        <f>VLOOKUP(5,$AJ$31:$AL$37,2,0)</f>
        <v>Marca 1</v>
      </c>
      <c r="E80" s="45">
        <f>VLOOKUP(5,$AJ$31:$AL$37,3,0)</f>
        <v>4.5</v>
      </c>
    </row>
    <row r="81" spans="2:5" ht="23">
      <c r="B81" s="44" t="str">
        <f>VLOOKUP(6,$AJ$31:$AL$37,2,0)</f>
        <v>Marca 3</v>
      </c>
      <c r="E81" s="45">
        <f>VLOOKUP(6,$AJ$31:$AL$37,3,0)</f>
        <v>4.4000000000000004</v>
      </c>
    </row>
    <row r="82" spans="2:5" ht="24" thickBot="1">
      <c r="B82" s="46" t="str">
        <f>VLOOKUP(7,$AJ$31:$AL$37,2,0)</f>
        <v>Marca 5</v>
      </c>
      <c r="C82" s="47"/>
      <c r="D82" s="47"/>
      <c r="E82" s="48">
        <f>VLOOKUP(7,$AJ$31:$AL$37,3,0)</f>
        <v>4.4000000000000004</v>
      </c>
    </row>
    <row r="83" spans="2:5" ht="14"/>
    <row r="84" spans="2:5" ht="14"/>
    <row r="85" spans="2:5" ht="14"/>
  </sheetData>
  <mergeCells count="86">
    <mergeCell ref="N9:P10"/>
    <mergeCell ref="B2:E3"/>
    <mergeCell ref="F2:I3"/>
    <mergeCell ref="B9:D10"/>
    <mergeCell ref="F9:H10"/>
    <mergeCell ref="J9:L10"/>
    <mergeCell ref="B12:D13"/>
    <mergeCell ref="F12:H13"/>
    <mergeCell ref="J12:L13"/>
    <mergeCell ref="B20:D21"/>
    <mergeCell ref="F20:H21"/>
    <mergeCell ref="J20:L21"/>
    <mergeCell ref="V45:X47"/>
    <mergeCell ref="Y45:Y47"/>
    <mergeCell ref="B23:D24"/>
    <mergeCell ref="F23:H24"/>
    <mergeCell ref="H27:K27"/>
    <mergeCell ref="B42:G42"/>
    <mergeCell ref="B45:D47"/>
    <mergeCell ref="E45:E47"/>
    <mergeCell ref="G45:I47"/>
    <mergeCell ref="J45:J47"/>
    <mergeCell ref="O50:O52"/>
    <mergeCell ref="L45:N47"/>
    <mergeCell ref="O45:O47"/>
    <mergeCell ref="Q45:S47"/>
    <mergeCell ref="T45:T47"/>
    <mergeCell ref="B50:D52"/>
    <mergeCell ref="E50:E52"/>
    <mergeCell ref="G50:I52"/>
    <mergeCell ref="J50:J52"/>
    <mergeCell ref="L50:N52"/>
    <mergeCell ref="AD50:AD52"/>
    <mergeCell ref="AA45:AC47"/>
    <mergeCell ref="AD45:AD47"/>
    <mergeCell ref="AF45:AH47"/>
    <mergeCell ref="AI45:AI47"/>
    <mergeCell ref="AI55:AI57"/>
    <mergeCell ref="AF50:AH52"/>
    <mergeCell ref="AI50:AI52"/>
    <mergeCell ref="B55:D57"/>
    <mergeCell ref="E55:E57"/>
    <mergeCell ref="G55:I57"/>
    <mergeCell ref="J55:J57"/>
    <mergeCell ref="L55:N57"/>
    <mergeCell ref="O55:O57"/>
    <mergeCell ref="Q55:S57"/>
    <mergeCell ref="T55:T57"/>
    <mergeCell ref="Q50:S52"/>
    <mergeCell ref="T50:T52"/>
    <mergeCell ref="V50:X52"/>
    <mergeCell ref="Y50:Y52"/>
    <mergeCell ref="AA50:AC52"/>
    <mergeCell ref="V55:X57"/>
    <mergeCell ref="Y55:Y57"/>
    <mergeCell ref="AA55:AC57"/>
    <mergeCell ref="AD55:AD57"/>
    <mergeCell ref="AF55:AH57"/>
    <mergeCell ref="AD60:AD62"/>
    <mergeCell ref="B60:D62"/>
    <mergeCell ref="E60:E62"/>
    <mergeCell ref="G60:I62"/>
    <mergeCell ref="J60:J62"/>
    <mergeCell ref="L60:N62"/>
    <mergeCell ref="O60:O62"/>
    <mergeCell ref="AI65:AI67"/>
    <mergeCell ref="AF60:AH62"/>
    <mergeCell ref="AI60:AI62"/>
    <mergeCell ref="B65:D67"/>
    <mergeCell ref="E65:E67"/>
    <mergeCell ref="G65:I67"/>
    <mergeCell ref="J65:J67"/>
    <mergeCell ref="L65:N67"/>
    <mergeCell ref="O65:O67"/>
    <mergeCell ref="Q65:S67"/>
    <mergeCell ref="T65:T67"/>
    <mergeCell ref="Q60:S62"/>
    <mergeCell ref="T60:T62"/>
    <mergeCell ref="V60:X62"/>
    <mergeCell ref="Y60:Y62"/>
    <mergeCell ref="AA60:AC62"/>
    <mergeCell ref="V65:X67"/>
    <mergeCell ref="Y65:Y67"/>
    <mergeCell ref="AA65:AC67"/>
    <mergeCell ref="AD65:AD67"/>
    <mergeCell ref="AF65:AH67"/>
  </mergeCells>
  <conditionalFormatting sqref="B12:D13">
    <cfRule type="expression" dxfId="39" priority="13">
      <formula>$P$5&lt;5</formula>
    </cfRule>
  </conditionalFormatting>
  <conditionalFormatting sqref="B23:D24">
    <cfRule type="expression" dxfId="38" priority="10">
      <formula>$P$16&lt;4</formula>
    </cfRule>
  </conditionalFormatting>
  <conditionalFormatting sqref="B34:D34">
    <cfRule type="expression" dxfId="37" priority="7">
      <formula>"if$C$2&lt;3"</formula>
    </cfRule>
  </conditionalFormatting>
  <conditionalFormatting sqref="B35:D35">
    <cfRule type="expression" dxfId="36" priority="8">
      <formula>$P$16&lt;4</formula>
    </cfRule>
  </conditionalFormatting>
  <conditionalFormatting sqref="B36:D36">
    <cfRule type="expression" dxfId="35" priority="9">
      <formula>$P$16&lt;5</formula>
    </cfRule>
  </conditionalFormatting>
  <conditionalFormatting sqref="B60:AI62">
    <cfRule type="expression" dxfId="34" priority="2">
      <formula>$P$16&lt;4</formula>
    </cfRule>
  </conditionalFormatting>
  <conditionalFormatting sqref="B65:AI67">
    <cfRule type="expression" dxfId="33" priority="1">
      <formula>$P$16&lt;5</formula>
    </cfRule>
  </conditionalFormatting>
  <conditionalFormatting sqref="F12:H13">
    <cfRule type="expression" dxfId="32" priority="12">
      <formula>$P$5&lt;6</formula>
    </cfRule>
  </conditionalFormatting>
  <conditionalFormatting sqref="F23:H24">
    <cfRule type="expression" dxfId="31" priority="19">
      <formula>$P$16&lt;5</formula>
    </cfRule>
  </conditionalFormatting>
  <conditionalFormatting sqref="J9:L10">
    <cfRule type="expression" dxfId="30" priority="15">
      <formula>$P$5&lt;3</formula>
    </cfRule>
  </conditionalFormatting>
  <conditionalFormatting sqref="J12:L13">
    <cfRule type="expression" dxfId="29" priority="11">
      <formula>$P$5&lt;7</formula>
    </cfRule>
  </conditionalFormatting>
  <conditionalFormatting sqref="J20:L21">
    <cfRule type="expression" dxfId="28" priority="20">
      <formula>$P$16&lt;3</formula>
    </cfRule>
  </conditionalFormatting>
  <conditionalFormatting sqref="N9:P10">
    <cfRule type="expression" dxfId="27" priority="16">
      <formula>$P$5&lt;4</formula>
    </cfRule>
  </conditionalFormatting>
  <conditionalFormatting sqref="Q45:T67">
    <cfRule type="expression" dxfId="26" priority="6">
      <formula>$P$5&lt;4</formula>
    </cfRule>
  </conditionalFormatting>
  <conditionalFormatting sqref="V45:Y67">
    <cfRule type="expression" dxfId="25" priority="5">
      <formula>$P$5&lt;5</formula>
    </cfRule>
  </conditionalFormatting>
  <conditionalFormatting sqref="AA45:AD67">
    <cfRule type="expression" dxfId="24" priority="4">
      <formula>$P$5&lt;6</formula>
    </cfRule>
  </conditionalFormatting>
  <conditionalFormatting sqref="AF45:AI67">
    <cfRule type="expression" dxfId="23" priority="3">
      <formula>$P$5&lt;7</formula>
    </cfRule>
  </conditionalFormatting>
  <dataValidations disablePrompts="1" count="8">
    <dataValidation type="whole" allowBlank="1" showInputMessage="1" showErrorMessage="1" sqref="P5" xr:uid="{41802C11-0BB1-4689-9039-57BED4B6C2C2}">
      <formula1>3</formula1>
      <formula2>7</formula2>
    </dataValidation>
    <dataValidation type="whole" allowBlank="1" showInputMessage="1" showErrorMessage="1" sqref="E45:E47 J45:J47 O45:O47 T45:T47 Y45:Y47 AD45:AD47 AI45:AI47 E50:E52 J50:J52 O50:O52 T50:T52 Y50:Y52 AD50:AD52 AI50:AI52 E55:E57 J55:J57 O55:O57 T55:T57 Y55:Y57 AD55:AD57 AI55:AI57 E60:E62 J60:J62 O60:O62 T60:T62 Y60:Y62 AD60:AD62 AI60:AI62 E65:E67 J65:J67 O65:O67 T65:T67 Y65:Y67 AD65:AD67 AI65:AI67" xr:uid="{D120C1FD-B0BA-44E8-8BAC-30CA06CAEF60}">
      <formula1>1</formula1>
      <formula2>$Q$5</formula2>
    </dataValidation>
    <dataValidation errorStyle="warning" allowBlank="1" showInputMessage="1" showErrorMessage="1" errorTitle="Debe sumar 100%" promptTitle="Suma debe ser 100%" prompt="Revisar suma" sqref="D37" xr:uid="{7456A8A3-4164-4010-9BF1-7AEB6EF1F07C}"/>
    <dataValidation type="whole" allowBlank="1" showInputMessage="1" showErrorMessage="1" sqref="P16" xr:uid="{F2B1FF49-4B15-4C52-A573-51A9BD2917F5}">
      <formula1>3</formula1>
      <formula2>5</formula2>
    </dataValidation>
    <dataValidation type="whole" allowBlank="1" showInputMessage="1" showErrorMessage="1" sqref="C25:C26 C17" xr:uid="{437C07AB-9CC7-4788-9505-B2C6EDDB05B0}">
      <formula1>2</formula1>
      <formula2>5</formula2>
    </dataValidation>
    <dataValidation type="whole" allowBlank="1" showInputMessage="1" showErrorMessage="1" sqref="C13:C15 C10:C11 C21:C22 C24 C18:C19 C6:C8" xr:uid="{E515F0B5-DAAE-47A6-8F79-55C6577B0C33}">
      <formula1>2</formula1>
      <formula2>7</formula2>
    </dataValidation>
    <dataValidation type="list" allowBlank="1" showInputMessage="1" showErrorMessage="1" sqref="H27" xr:uid="{94733DB7-A517-490C-945D-F6BF4572F691}">
      <formula1>$P$2:$P$4</formula1>
    </dataValidation>
    <dataValidation type="custom" errorStyle="warning" allowBlank="1" showInputMessage="1" showErrorMessage="1" errorTitle="Debe sumar 100%" promptTitle="Suma debe ser 100%" prompt="Revisar suma" sqref="C32:D36" xr:uid="{9A5E713E-2B48-4F95-AD2E-B42D02CD574C}">
      <formula1>"sum($C$32:$C$36)=1"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2402-8A14-4285-8158-73F7DECD15AB}">
  <sheetPr>
    <tabColor theme="6"/>
  </sheetPr>
  <dimension ref="A1:AU113"/>
  <sheetViews>
    <sheetView showGridLines="0" zoomScale="85" zoomScaleNormal="85" workbookViewId="0"/>
  </sheetViews>
  <sheetFormatPr baseColWidth="10" defaultColWidth="0" defaultRowHeight="14" zeroHeight="1"/>
  <cols>
    <col min="1" max="1" width="8.83203125" style="3" customWidth="1"/>
    <col min="2" max="35" width="9.6640625" style="3" customWidth="1"/>
    <col min="36" max="46" width="11.5" style="4" hidden="1" customWidth="1"/>
    <col min="47" max="47" width="8.83203125" style="4" customWidth="1"/>
    <col min="48" max="16384" width="8.83203125" style="4" hidden="1"/>
  </cols>
  <sheetData>
    <row r="1" spans="2:21" ht="15" thickBot="1"/>
    <row r="2" spans="2:21" ht="14.25" customHeight="1">
      <c r="B2" s="158" t="s">
        <v>18</v>
      </c>
      <c r="C2" s="158"/>
      <c r="D2" s="158"/>
      <c r="E2" s="158"/>
      <c r="F2" s="148"/>
      <c r="G2" s="149"/>
      <c r="H2" s="149"/>
      <c r="I2" s="150"/>
      <c r="P2" s="4" t="s">
        <v>5</v>
      </c>
      <c r="Q2" s="4">
        <f>IF($H$27=P2,5,0)</f>
        <v>5</v>
      </c>
      <c r="R2" s="4"/>
      <c r="S2" s="4"/>
      <c r="T2" s="4"/>
      <c r="U2" s="4"/>
    </row>
    <row r="3" spans="2:21" ht="15" thickBot="1">
      <c r="B3" s="158"/>
      <c r="C3" s="158"/>
      <c r="D3" s="158"/>
      <c r="E3" s="158"/>
      <c r="F3" s="151"/>
      <c r="G3" s="152"/>
      <c r="H3" s="152"/>
      <c r="I3" s="153"/>
      <c r="P3" s="4" t="s">
        <v>4</v>
      </c>
      <c r="Q3" s="4">
        <f>IF($H$27=P3,7,0)</f>
        <v>0</v>
      </c>
      <c r="R3" s="4"/>
      <c r="S3" s="4"/>
      <c r="T3" s="4"/>
      <c r="U3" s="4"/>
    </row>
    <row r="4" spans="2:21" ht="15" thickBot="1">
      <c r="P4" s="4" t="s">
        <v>6</v>
      </c>
      <c r="Q4" s="4">
        <f>IF($H$27=P4,10,0)</f>
        <v>0</v>
      </c>
      <c r="R4" s="4"/>
      <c r="S4" s="4"/>
      <c r="T4" s="4"/>
      <c r="U4" s="4"/>
    </row>
    <row r="5" spans="2:21" ht="14" customHeight="1" thickBot="1">
      <c r="B5" s="3" t="s">
        <v>19</v>
      </c>
      <c r="E5" s="5"/>
      <c r="P5" s="18">
        <v>7</v>
      </c>
      <c r="Q5" s="4">
        <f>SUM(Q2:Q4)</f>
        <v>5</v>
      </c>
      <c r="R5" s="4"/>
      <c r="S5" s="4"/>
      <c r="T5" s="4"/>
      <c r="U5" s="4"/>
    </row>
    <row r="6" spans="2:21" ht="14" customHeight="1">
      <c r="E6" s="5"/>
      <c r="P6" s="4"/>
      <c r="Q6" s="4"/>
      <c r="R6" s="4"/>
      <c r="S6" s="4"/>
      <c r="T6" s="4"/>
      <c r="U6" s="4"/>
    </row>
    <row r="7" spans="2:21" ht="14" customHeight="1">
      <c r="B7" s="3" t="s">
        <v>13</v>
      </c>
      <c r="E7" s="5"/>
      <c r="P7" s="4"/>
      <c r="Q7" s="4"/>
      <c r="R7" s="4"/>
      <c r="S7" s="4"/>
      <c r="T7" s="4"/>
      <c r="U7" s="4"/>
    </row>
    <row r="8" spans="2:21" ht="14" customHeight="1" thickBot="1">
      <c r="C8" s="5"/>
      <c r="D8" s="6"/>
      <c r="E8" s="6"/>
      <c r="F8" s="6"/>
      <c r="P8" s="4"/>
      <c r="Q8" s="4"/>
      <c r="R8" s="4"/>
      <c r="S8" s="4"/>
      <c r="T8" s="4"/>
      <c r="U8" s="4"/>
    </row>
    <row r="9" spans="2:21" ht="14" customHeight="1">
      <c r="B9" s="148" t="s">
        <v>22</v>
      </c>
      <c r="C9" s="149"/>
      <c r="D9" s="150"/>
      <c r="F9" s="148" t="s">
        <v>23</v>
      </c>
      <c r="G9" s="149"/>
      <c r="H9" s="150"/>
      <c r="J9" s="148" t="s">
        <v>24</v>
      </c>
      <c r="K9" s="149"/>
      <c r="L9" s="150"/>
      <c r="N9" s="148" t="s">
        <v>7</v>
      </c>
      <c r="O9" s="149"/>
      <c r="P9" s="150"/>
    </row>
    <row r="10" spans="2:21" ht="14" customHeight="1" thickBot="1">
      <c r="B10" s="151"/>
      <c r="C10" s="152"/>
      <c r="D10" s="153"/>
      <c r="F10" s="151"/>
      <c r="G10" s="152"/>
      <c r="H10" s="153"/>
      <c r="J10" s="151"/>
      <c r="K10" s="152"/>
      <c r="L10" s="153"/>
      <c r="N10" s="151"/>
      <c r="O10" s="152"/>
      <c r="P10" s="153"/>
    </row>
    <row r="11" spans="2:21" ht="14" customHeight="1" thickBot="1">
      <c r="C11" s="6"/>
      <c r="F11" s="6"/>
      <c r="G11" s="6"/>
      <c r="H11" s="6"/>
    </row>
    <row r="12" spans="2:21" ht="14" customHeight="1">
      <c r="B12" s="148" t="s">
        <v>8</v>
      </c>
      <c r="C12" s="149"/>
      <c r="D12" s="150"/>
      <c r="F12" s="148" t="s">
        <v>9</v>
      </c>
      <c r="G12" s="149"/>
      <c r="H12" s="150"/>
      <c r="J12" s="148" t="s">
        <v>10</v>
      </c>
      <c r="K12" s="149"/>
      <c r="L12" s="150"/>
    </row>
    <row r="13" spans="2:21" ht="14" customHeight="1" thickBot="1">
      <c r="B13" s="151"/>
      <c r="C13" s="152"/>
      <c r="D13" s="153"/>
      <c r="F13" s="151"/>
      <c r="G13" s="152"/>
      <c r="H13" s="153"/>
      <c r="J13" s="151"/>
      <c r="K13" s="152"/>
      <c r="L13" s="153"/>
    </row>
    <row r="14" spans="2:21" ht="14" customHeight="1">
      <c r="C14" s="6"/>
      <c r="D14" s="6"/>
      <c r="E14" s="6"/>
      <c r="F14" s="6"/>
    </row>
    <row r="15" spans="2:21" ht="14" customHeight="1" thickBot="1">
      <c r="E15" s="5"/>
    </row>
    <row r="16" spans="2:21" ht="14" customHeight="1" thickBot="1">
      <c r="B16" s="3" t="s">
        <v>20</v>
      </c>
      <c r="E16" s="5"/>
      <c r="P16" s="18">
        <v>5</v>
      </c>
    </row>
    <row r="17" spans="2:38" ht="14" customHeight="1">
      <c r="E17" s="5"/>
    </row>
    <row r="18" spans="2:38" ht="14" customHeight="1">
      <c r="B18" s="3" t="s">
        <v>14</v>
      </c>
      <c r="E18" s="5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2:38" ht="14" customHeight="1" thickBot="1">
      <c r="C19" s="5"/>
      <c r="E19" s="5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2:38" ht="14" customHeight="1">
      <c r="B20" s="148" t="s">
        <v>25</v>
      </c>
      <c r="C20" s="149"/>
      <c r="D20" s="150"/>
      <c r="F20" s="148" t="s">
        <v>26</v>
      </c>
      <c r="G20" s="149"/>
      <c r="H20" s="150"/>
      <c r="J20" s="148" t="s">
        <v>27</v>
      </c>
      <c r="K20" s="149"/>
      <c r="L20" s="150"/>
      <c r="M20" s="7"/>
      <c r="N20" s="7"/>
      <c r="O20" s="7"/>
      <c r="P20" s="7"/>
      <c r="Q20" s="7"/>
      <c r="R20" s="7"/>
      <c r="S20" s="7"/>
      <c r="AA20" s="7"/>
      <c r="AB20" s="7"/>
      <c r="AC20" s="7"/>
    </row>
    <row r="21" spans="2:38" ht="14" customHeight="1" thickBot="1">
      <c r="B21" s="151"/>
      <c r="C21" s="152"/>
      <c r="D21" s="153"/>
      <c r="F21" s="151"/>
      <c r="G21" s="152"/>
      <c r="H21" s="153"/>
      <c r="J21" s="151"/>
      <c r="K21" s="152"/>
      <c r="L21" s="153"/>
      <c r="M21" s="7"/>
      <c r="N21" s="7"/>
      <c r="O21" s="7"/>
      <c r="P21" s="7"/>
      <c r="Q21" s="7"/>
      <c r="R21" s="7"/>
      <c r="S21" s="7"/>
      <c r="AA21" s="7"/>
      <c r="AB21" s="7"/>
      <c r="AC21" s="7"/>
    </row>
    <row r="22" spans="2:38" ht="14" customHeight="1" thickBot="1">
      <c r="C22" s="6"/>
      <c r="K22" s="7"/>
      <c r="L22" s="7"/>
      <c r="M22" s="7"/>
      <c r="N22" s="7"/>
      <c r="O22" s="7"/>
      <c r="P22" s="7"/>
      <c r="Q22" s="7"/>
      <c r="R22" s="7"/>
      <c r="S22" s="7"/>
      <c r="T22" s="6"/>
      <c r="U22" s="6"/>
      <c r="V22" s="6"/>
      <c r="AA22" s="7"/>
      <c r="AB22" s="7"/>
      <c r="AC22" s="7"/>
    </row>
    <row r="23" spans="2:38" ht="14" customHeight="1">
      <c r="B23" s="148" t="s">
        <v>0</v>
      </c>
      <c r="C23" s="149"/>
      <c r="D23" s="150"/>
      <c r="F23" s="148" t="s">
        <v>1</v>
      </c>
      <c r="G23" s="149"/>
      <c r="H23" s="150"/>
      <c r="K23" s="7"/>
      <c r="L23" s="7"/>
      <c r="M23" s="7"/>
      <c r="N23" s="7"/>
      <c r="O23" s="7"/>
      <c r="P23" s="7"/>
      <c r="Q23" s="7"/>
      <c r="R23" s="7"/>
      <c r="S23" s="7"/>
      <c r="AA23" s="7"/>
      <c r="AB23" s="7"/>
      <c r="AC23" s="7"/>
    </row>
    <row r="24" spans="2:38" ht="14" customHeight="1" thickBot="1">
      <c r="B24" s="151"/>
      <c r="C24" s="152"/>
      <c r="D24" s="153"/>
      <c r="F24" s="151"/>
      <c r="G24" s="152"/>
      <c r="H24" s="153"/>
      <c r="K24" s="7"/>
      <c r="L24" s="7"/>
      <c r="M24" s="7"/>
      <c r="N24" s="7"/>
      <c r="O24" s="7"/>
      <c r="P24" s="7"/>
      <c r="Q24" s="7"/>
      <c r="R24" s="7"/>
      <c r="S24" s="7"/>
      <c r="AA24" s="7"/>
      <c r="AB24" s="7"/>
      <c r="AC24" s="7"/>
    </row>
    <row r="25" spans="2:38" ht="14" customHeight="1">
      <c r="E25" s="5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2:38" ht="14" customHeight="1" thickBot="1">
      <c r="E26" s="5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2:38" ht="15" thickBot="1">
      <c r="B27" s="3" t="s">
        <v>15</v>
      </c>
      <c r="G27" s="5"/>
      <c r="H27" s="154" t="s">
        <v>5</v>
      </c>
      <c r="I27" s="155"/>
      <c r="J27" s="155"/>
      <c r="K27" s="15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2:38"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2:38"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2:38" ht="15" thickBot="1">
      <c r="B30" s="3" t="s">
        <v>16</v>
      </c>
      <c r="D30" s="5"/>
      <c r="K30" s="7"/>
      <c r="L30" s="7"/>
      <c r="M30" s="7"/>
      <c r="N30" s="7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2:38" ht="16" thickBot="1">
      <c r="B31" s="21" t="s">
        <v>2</v>
      </c>
      <c r="C31" s="22"/>
      <c r="D31" s="23" t="s">
        <v>3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 t="str">
        <f>B9</f>
        <v>Marca 1</v>
      </c>
      <c r="P31" s="4" t="str">
        <f>F9</f>
        <v>Marca 2</v>
      </c>
      <c r="Q31" s="4" t="str">
        <f>J9</f>
        <v>Marca 3</v>
      </c>
      <c r="R31" s="4" t="str">
        <f>N9</f>
        <v>Marca 4</v>
      </c>
      <c r="S31" s="4" t="str">
        <f>B12</f>
        <v>Marca 5</v>
      </c>
      <c r="T31" s="4" t="str">
        <f>F12</f>
        <v>Marca 6</v>
      </c>
      <c r="U31" s="4" t="str">
        <f>J12</f>
        <v>Marca 7</v>
      </c>
      <c r="V31" s="4"/>
      <c r="W31" s="4"/>
      <c r="X31" s="4"/>
      <c r="Y31" s="4" t="str">
        <f t="shared" ref="Y31:AE31" si="0">O31</f>
        <v>Marca 1</v>
      </c>
      <c r="Z31" s="4" t="str">
        <f t="shared" si="0"/>
        <v>Marca 2</v>
      </c>
      <c r="AA31" s="4" t="str">
        <f t="shared" si="0"/>
        <v>Marca 3</v>
      </c>
      <c r="AB31" s="4" t="str">
        <f t="shared" si="0"/>
        <v>Marca 4</v>
      </c>
      <c r="AC31" s="4" t="str">
        <f t="shared" si="0"/>
        <v>Marca 5</v>
      </c>
      <c r="AD31" s="4" t="str">
        <f t="shared" si="0"/>
        <v>Marca 6</v>
      </c>
      <c r="AE31" s="4" t="str">
        <f t="shared" si="0"/>
        <v>Marca 7</v>
      </c>
      <c r="AF31" s="4"/>
      <c r="AG31" s="4" t="str">
        <f>$Y$31</f>
        <v>Marca 1</v>
      </c>
      <c r="AH31" s="4">
        <f>$Y$37</f>
        <v>5</v>
      </c>
      <c r="AI31" s="4">
        <f>AH31+0.000000001</f>
        <v>5.0000000010000001</v>
      </c>
      <c r="AJ31" s="4">
        <f>RANK(AI31,$AI$31:$AI$37)</f>
        <v>1</v>
      </c>
      <c r="AK31" s="4" t="str">
        <f>AG31</f>
        <v>Marca 1</v>
      </c>
      <c r="AL31" s="4">
        <f>AH31</f>
        <v>5</v>
      </c>
    </row>
    <row r="32" spans="2:38">
      <c r="B32" s="8" t="str">
        <f>B20</f>
        <v>Criterio 1</v>
      </c>
      <c r="C32" s="17"/>
      <c r="D32" s="9">
        <v>0.2</v>
      </c>
      <c r="E32" s="24">
        <f>D32</f>
        <v>0.2</v>
      </c>
      <c r="F32" s="24">
        <f>E32</f>
        <v>0.2</v>
      </c>
      <c r="G32" s="4">
        <f>RANK(F32,$F$32:$F$36)</f>
        <v>3</v>
      </c>
      <c r="H32" s="4" t="str">
        <f>B32</f>
        <v>Criterio 1</v>
      </c>
      <c r="I32" s="4"/>
      <c r="J32" s="4"/>
      <c r="K32" s="4"/>
      <c r="L32" s="4"/>
      <c r="M32" s="4"/>
      <c r="N32" s="4"/>
      <c r="O32" s="4">
        <f>E48</f>
        <v>5</v>
      </c>
      <c r="P32" s="4">
        <f>J48</f>
        <v>5</v>
      </c>
      <c r="Q32" s="4">
        <f>O48</f>
        <v>5</v>
      </c>
      <c r="R32" s="4">
        <f>IF($P$5&lt;4,0,T48)</f>
        <v>5</v>
      </c>
      <c r="S32" s="4">
        <f>IF($P$5&lt;5,0,Y48)</f>
        <v>5</v>
      </c>
      <c r="T32" s="4">
        <f>IF($P$5&lt;6,0,AD48)</f>
        <v>5</v>
      </c>
      <c r="U32" s="4">
        <f>IF($P$5&lt;7,0,AI48)</f>
        <v>5</v>
      </c>
      <c r="V32" s="4"/>
      <c r="W32" s="4"/>
      <c r="X32" s="4"/>
      <c r="Y32" s="4">
        <f t="shared" ref="Y32:AE36" si="1">O32*$D32</f>
        <v>1</v>
      </c>
      <c r="Z32" s="4">
        <f t="shared" si="1"/>
        <v>1</v>
      </c>
      <c r="AA32" s="4">
        <f t="shared" si="1"/>
        <v>1</v>
      </c>
      <c r="AB32" s="4">
        <f t="shared" si="1"/>
        <v>1</v>
      </c>
      <c r="AC32" s="4">
        <f t="shared" si="1"/>
        <v>1</v>
      </c>
      <c r="AD32" s="4">
        <f t="shared" si="1"/>
        <v>1</v>
      </c>
      <c r="AE32" s="4">
        <f t="shared" si="1"/>
        <v>1</v>
      </c>
      <c r="AF32" s="4"/>
      <c r="AG32" s="4" t="str">
        <f>$Z$31</f>
        <v>Marca 2</v>
      </c>
      <c r="AH32" s="4">
        <f>$Z$37</f>
        <v>4.25</v>
      </c>
      <c r="AI32" s="4">
        <f>AH32+0.000000002</f>
        <v>4.2500000020000002</v>
      </c>
      <c r="AJ32" s="4">
        <f t="shared" ref="AJ32:AJ37" si="2">RANK(AI32,$AI$31:$AI$37)</f>
        <v>2</v>
      </c>
      <c r="AK32" s="4" t="str">
        <f t="shared" ref="AK32:AK37" si="3">AG32</f>
        <v>Marca 2</v>
      </c>
      <c r="AL32" s="4">
        <f t="shared" ref="AL32:AL37" si="4">AH32</f>
        <v>4.25</v>
      </c>
    </row>
    <row r="33" spans="2:44">
      <c r="B33" s="8" t="str">
        <f>F20</f>
        <v>Criterio 2</v>
      </c>
      <c r="C33" s="17"/>
      <c r="D33" s="9">
        <v>0.3</v>
      </c>
      <c r="E33" s="24">
        <f>D33</f>
        <v>0.3</v>
      </c>
      <c r="F33" s="24">
        <f>D33+0.0000002</f>
        <v>0.30000019999999999</v>
      </c>
      <c r="G33" s="4">
        <f>RANK(F33,$F$32:$F$36)</f>
        <v>1</v>
      </c>
      <c r="H33" s="4" t="str">
        <f>B33</f>
        <v>Criterio 2</v>
      </c>
      <c r="I33" s="4"/>
      <c r="J33" s="4"/>
      <c r="K33" s="4"/>
      <c r="L33" s="4"/>
      <c r="M33" s="4"/>
      <c r="N33" s="4"/>
      <c r="O33" s="4">
        <f>E61</f>
        <v>5</v>
      </c>
      <c r="P33" s="4">
        <f>J61</f>
        <v>5</v>
      </c>
      <c r="Q33" s="4">
        <f>O61</f>
        <v>5</v>
      </c>
      <c r="R33" s="4">
        <f>IF($P$5&lt;4,0,T61)</f>
        <v>5</v>
      </c>
      <c r="S33" s="4">
        <f>IF($P$5&lt;5,0,Y61)</f>
        <v>5</v>
      </c>
      <c r="T33" s="4">
        <f>IF($P$5&lt;6,0,AD61)</f>
        <v>5</v>
      </c>
      <c r="U33" s="4">
        <f>IF($P$5&lt;7,0,AI61)</f>
        <v>5</v>
      </c>
      <c r="V33" s="4"/>
      <c r="W33" s="4"/>
      <c r="X33" s="4"/>
      <c r="Y33" s="4">
        <f t="shared" si="1"/>
        <v>1.5</v>
      </c>
      <c r="Z33" s="4">
        <f t="shared" si="1"/>
        <v>1.5</v>
      </c>
      <c r="AA33" s="4">
        <f t="shared" si="1"/>
        <v>1.5</v>
      </c>
      <c r="AB33" s="4">
        <f t="shared" si="1"/>
        <v>1.5</v>
      </c>
      <c r="AC33" s="4">
        <f t="shared" si="1"/>
        <v>1.5</v>
      </c>
      <c r="AD33" s="4">
        <f t="shared" si="1"/>
        <v>1.5</v>
      </c>
      <c r="AE33" s="4">
        <f t="shared" si="1"/>
        <v>1.5</v>
      </c>
      <c r="AF33" s="4"/>
      <c r="AG33" s="4" t="str">
        <f>$AA$31</f>
        <v>Marca 3</v>
      </c>
      <c r="AH33" s="4">
        <f>$AA$37</f>
        <v>3.75</v>
      </c>
      <c r="AI33" s="4">
        <f>AH33+0.000000003</f>
        <v>3.7500000029999998</v>
      </c>
      <c r="AJ33" s="4">
        <f t="shared" si="2"/>
        <v>7</v>
      </c>
      <c r="AK33" s="4" t="str">
        <f t="shared" si="3"/>
        <v>Marca 3</v>
      </c>
      <c r="AL33" s="4">
        <f t="shared" si="4"/>
        <v>3.75</v>
      </c>
    </row>
    <row r="34" spans="2:44">
      <c r="B34" s="8" t="str">
        <f>J20</f>
        <v>Criterio 3</v>
      </c>
      <c r="C34" s="17"/>
      <c r="D34" s="9">
        <v>0.25</v>
      </c>
      <c r="E34" s="24">
        <f>D34</f>
        <v>0.25</v>
      </c>
      <c r="F34" s="24">
        <f>D34+0.0000003</f>
        <v>0.25000030000000001</v>
      </c>
      <c r="G34" s="4">
        <f>RANK(F34,$F$32:$F$36)</f>
        <v>2</v>
      </c>
      <c r="H34" s="4" t="str">
        <f>B34</f>
        <v>Criterio 3</v>
      </c>
      <c r="I34" s="4"/>
      <c r="J34" s="4"/>
      <c r="K34" s="4"/>
      <c r="L34" s="4"/>
      <c r="M34" s="4"/>
      <c r="N34" s="4"/>
      <c r="O34" s="4">
        <f>E74</f>
        <v>5</v>
      </c>
      <c r="P34" s="4">
        <f>J74</f>
        <v>5</v>
      </c>
      <c r="Q34" s="4">
        <f>O74</f>
        <v>5</v>
      </c>
      <c r="R34" s="4">
        <f>IF($P$5&lt;4,0,T74)</f>
        <v>5</v>
      </c>
      <c r="S34" s="4">
        <f>IF($P$5&lt;5,0,Y74)</f>
        <v>5</v>
      </c>
      <c r="T34" s="4">
        <f>IF($P$5&lt;6,0,AD74)</f>
        <v>5</v>
      </c>
      <c r="U34" s="4">
        <f>IF($P$5&lt;7,0,AI74)</f>
        <v>5</v>
      </c>
      <c r="V34" s="4"/>
      <c r="W34" s="4"/>
      <c r="X34" s="4"/>
      <c r="Y34" s="4">
        <f t="shared" si="1"/>
        <v>1.25</v>
      </c>
      <c r="Z34" s="4">
        <f t="shared" si="1"/>
        <v>1.25</v>
      </c>
      <c r="AA34" s="4">
        <f t="shared" si="1"/>
        <v>1.25</v>
      </c>
      <c r="AB34" s="4">
        <f t="shared" si="1"/>
        <v>1.25</v>
      </c>
      <c r="AC34" s="4">
        <f t="shared" si="1"/>
        <v>1.25</v>
      </c>
      <c r="AD34" s="4">
        <f t="shared" si="1"/>
        <v>1.25</v>
      </c>
      <c r="AE34" s="4">
        <f t="shared" si="1"/>
        <v>1.25</v>
      </c>
      <c r="AF34" s="4"/>
      <c r="AG34" s="4" t="str">
        <f>$AB$31</f>
        <v>Marca 4</v>
      </c>
      <c r="AH34" s="4">
        <f>$AB$37</f>
        <v>3.75</v>
      </c>
      <c r="AI34" s="4">
        <f>AH34+0.000000004</f>
        <v>3.7500000039999999</v>
      </c>
      <c r="AJ34" s="4">
        <f t="shared" si="2"/>
        <v>6</v>
      </c>
      <c r="AK34" s="4" t="str">
        <f t="shared" si="3"/>
        <v>Marca 4</v>
      </c>
      <c r="AL34" s="4">
        <f t="shared" si="4"/>
        <v>3.75</v>
      </c>
    </row>
    <row r="35" spans="2:44">
      <c r="B35" s="8" t="str">
        <f>IF($P$16&lt;4," ",B23)</f>
        <v>Criterio 4</v>
      </c>
      <c r="C35" s="17"/>
      <c r="D35" s="9">
        <v>0.1</v>
      </c>
      <c r="E35" s="24">
        <f>IF($P$16&lt;4,0,D35)</f>
        <v>0.1</v>
      </c>
      <c r="F35" s="24">
        <f>IF(E35=0,0,(D35+0.0000004))</f>
        <v>0.1000004</v>
      </c>
      <c r="G35" s="4">
        <f>RANK(F35,$F$32:$F$36)</f>
        <v>5</v>
      </c>
      <c r="H35" s="4" t="str">
        <f>B35</f>
        <v>Criterio 4</v>
      </c>
      <c r="I35" s="4"/>
      <c r="J35" s="4"/>
      <c r="K35" s="4"/>
      <c r="L35" s="4"/>
      <c r="M35" s="4"/>
      <c r="N35" s="4"/>
      <c r="O35" s="4">
        <f>IF($P$16&lt;4,0,E87)</f>
        <v>5</v>
      </c>
      <c r="P35" s="4">
        <f>IF($P$16&lt;4,0,J74)</f>
        <v>5</v>
      </c>
      <c r="Q35" s="4">
        <f>IF($P$16&lt;4,0,O92)</f>
        <v>0</v>
      </c>
      <c r="R35" s="4">
        <f>IF(OR($P$5&lt;4,$P$16&lt;4),0,T92)</f>
        <v>0</v>
      </c>
      <c r="S35" s="4">
        <f>IF(OR($P$5&lt;5,$P$16&lt;4),0,Y92)</f>
        <v>0</v>
      </c>
      <c r="T35" s="4">
        <f>IF(OR($P$5&lt;6,$P$16&lt;4),0,AD92)</f>
        <v>0</v>
      </c>
      <c r="U35" s="4">
        <f>IF(OR($P$5&lt;7,$P$16&lt;4),0,AI92)</f>
        <v>0</v>
      </c>
      <c r="V35" s="4"/>
      <c r="W35" s="4"/>
      <c r="X35" s="4"/>
      <c r="Y35" s="4">
        <f t="shared" si="1"/>
        <v>0.5</v>
      </c>
      <c r="Z35" s="4">
        <f t="shared" si="1"/>
        <v>0.5</v>
      </c>
      <c r="AA35" s="4">
        <f t="shared" si="1"/>
        <v>0</v>
      </c>
      <c r="AB35" s="4">
        <f t="shared" si="1"/>
        <v>0</v>
      </c>
      <c r="AC35" s="4">
        <f t="shared" si="1"/>
        <v>0</v>
      </c>
      <c r="AD35" s="4">
        <f t="shared" si="1"/>
        <v>0</v>
      </c>
      <c r="AE35" s="4">
        <f t="shared" si="1"/>
        <v>0</v>
      </c>
      <c r="AF35" s="4"/>
      <c r="AG35" s="4" t="str">
        <f>$AC$31</f>
        <v>Marca 5</v>
      </c>
      <c r="AH35" s="4">
        <f>$AC$37</f>
        <v>3.75</v>
      </c>
      <c r="AI35" s="4">
        <f>AH35+0.000000005</f>
        <v>3.750000005</v>
      </c>
      <c r="AJ35" s="4">
        <f t="shared" si="2"/>
        <v>5</v>
      </c>
      <c r="AK35" s="4" t="str">
        <f t="shared" si="3"/>
        <v>Marca 5</v>
      </c>
      <c r="AL35" s="4">
        <f t="shared" si="4"/>
        <v>3.75</v>
      </c>
    </row>
    <row r="36" spans="2:44" ht="15" thickBot="1">
      <c r="B36" s="10" t="str">
        <f>IF($P$16&lt;5," ",F23)</f>
        <v>Criterio 5</v>
      </c>
      <c r="C36" s="20"/>
      <c r="D36" s="11">
        <v>0.15</v>
      </c>
      <c r="E36" s="24">
        <f>IF($P$16&lt;5,0,D36)</f>
        <v>0.15</v>
      </c>
      <c r="F36" s="24">
        <f>IF(E36=0,0,(D36+0.0000004))</f>
        <v>0.15000040000000001</v>
      </c>
      <c r="G36" s="4">
        <f>RANK(F36,$F$32:$F$36)</f>
        <v>4</v>
      </c>
      <c r="H36" s="4" t="str">
        <f>B36</f>
        <v>Criterio 5</v>
      </c>
      <c r="I36" s="4"/>
      <c r="J36" s="4"/>
      <c r="K36" s="4"/>
      <c r="L36" s="4"/>
      <c r="M36" s="4"/>
      <c r="N36" s="4"/>
      <c r="O36" s="4">
        <f>IF($P$16&lt;5,0,E100)</f>
        <v>5</v>
      </c>
      <c r="P36" s="4">
        <f>IF($P$16&lt;4,0,J75)</f>
        <v>0</v>
      </c>
      <c r="Q36" s="4">
        <f>IF($P$16&lt;5,0,O97)</f>
        <v>0</v>
      </c>
      <c r="R36" s="4">
        <f>IF(OR($P$5&lt;4,$P$16&lt;5),0,T97)</f>
        <v>0</v>
      </c>
      <c r="S36" s="4">
        <f>IF(OR($P$5&lt;5,$P$16&lt;5),0,Y97)</f>
        <v>0</v>
      </c>
      <c r="T36" s="4">
        <f>IF(OR($P$5&lt;6,$P$16&lt;5),0,AD97)</f>
        <v>0</v>
      </c>
      <c r="U36" s="4">
        <f>IF(OR($P$5&lt;7,$P$16&lt;5),0,AI97)</f>
        <v>0</v>
      </c>
      <c r="V36" s="4"/>
      <c r="W36" s="4"/>
      <c r="X36" s="4"/>
      <c r="Y36" s="4">
        <f t="shared" si="1"/>
        <v>0.75</v>
      </c>
      <c r="Z36" s="4">
        <f t="shared" si="1"/>
        <v>0</v>
      </c>
      <c r="AA36" s="4">
        <f t="shared" si="1"/>
        <v>0</v>
      </c>
      <c r="AB36" s="4">
        <f t="shared" si="1"/>
        <v>0</v>
      </c>
      <c r="AC36" s="4">
        <f t="shared" si="1"/>
        <v>0</v>
      </c>
      <c r="AD36" s="4">
        <f t="shared" si="1"/>
        <v>0</v>
      </c>
      <c r="AE36" s="4">
        <f t="shared" si="1"/>
        <v>0</v>
      </c>
      <c r="AF36" s="4"/>
      <c r="AG36" s="4" t="str">
        <f>$AD$31</f>
        <v>Marca 6</v>
      </c>
      <c r="AH36" s="4">
        <f>$AD$37</f>
        <v>3.75</v>
      </c>
      <c r="AI36" s="4">
        <f>AH36+0.000000006</f>
        <v>3.7500000060000001</v>
      </c>
      <c r="AJ36" s="4">
        <f t="shared" si="2"/>
        <v>4</v>
      </c>
      <c r="AK36" s="4" t="str">
        <f t="shared" si="3"/>
        <v>Marca 6</v>
      </c>
      <c r="AL36" s="4">
        <f t="shared" si="4"/>
        <v>3.75</v>
      </c>
    </row>
    <row r="37" spans="2:44" ht="16" thickBot="1">
      <c r="B37" s="12"/>
      <c r="D37" s="19">
        <f>SUM(D32:D36)</f>
        <v>1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13">
        <f>SUM(Y32:Y36)</f>
        <v>5</v>
      </c>
      <c r="Z37" s="13">
        <f t="shared" ref="Z37:AE37" si="5">SUM(Z32:Z36)</f>
        <v>4.25</v>
      </c>
      <c r="AA37" s="13">
        <f t="shared" si="5"/>
        <v>3.75</v>
      </c>
      <c r="AB37" s="13">
        <f t="shared" si="5"/>
        <v>3.75</v>
      </c>
      <c r="AC37" s="13">
        <f t="shared" si="5"/>
        <v>3.75</v>
      </c>
      <c r="AD37" s="13">
        <f t="shared" si="5"/>
        <v>3.75</v>
      </c>
      <c r="AE37" s="13">
        <f t="shared" si="5"/>
        <v>3.75</v>
      </c>
      <c r="AF37" s="4"/>
      <c r="AG37" s="4" t="str">
        <f>$AE$31</f>
        <v>Marca 7</v>
      </c>
      <c r="AH37" s="4">
        <f>$AE$37</f>
        <v>3.75</v>
      </c>
      <c r="AI37" s="4">
        <f>AH37+0.000000007</f>
        <v>3.7500000070000001</v>
      </c>
      <c r="AJ37" s="4">
        <f t="shared" si="2"/>
        <v>3</v>
      </c>
      <c r="AK37" s="4" t="str">
        <f t="shared" si="3"/>
        <v>Marca 7</v>
      </c>
      <c r="AL37" s="4">
        <f t="shared" si="4"/>
        <v>3.75</v>
      </c>
    </row>
    <row r="38" spans="2:44">
      <c r="K38" s="7"/>
      <c r="L38" s="7"/>
      <c r="M38" s="7"/>
      <c r="N38" s="7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2:44" ht="14" customHeight="1">
      <c r="J39" s="1"/>
      <c r="K39" s="2"/>
      <c r="L39" s="2"/>
      <c r="M39" s="2"/>
      <c r="N39" s="7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2:44" ht="14" customHeight="1">
      <c r="B40" s="7" t="s">
        <v>28</v>
      </c>
      <c r="I40" s="1"/>
      <c r="J40" s="1"/>
      <c r="K40" s="2"/>
      <c r="L40" s="2"/>
      <c r="M40" s="2"/>
      <c r="N40" s="7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2:44" ht="14" customHeight="1">
      <c r="B41" s="5"/>
      <c r="I41" s="1"/>
      <c r="J41" s="1"/>
      <c r="K41" s="2"/>
      <c r="L41" s="2"/>
      <c r="M41" s="2"/>
      <c r="N41" s="7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2:44" ht="14" customHeight="1">
      <c r="B42" s="157" t="str">
        <f>$H$27</f>
        <v>1 es la peor puntuación; 5 la mayor puntuación</v>
      </c>
      <c r="C42" s="157"/>
      <c r="D42" s="157"/>
      <c r="E42" s="157"/>
      <c r="F42" s="157"/>
      <c r="G42" s="157"/>
      <c r="I42" s="1"/>
      <c r="J42" s="1"/>
      <c r="K42" s="2"/>
      <c r="L42" s="2"/>
      <c r="M42" s="2"/>
      <c r="N42" s="7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2:44" ht="14" customHeight="1">
      <c r="B43" s="5"/>
      <c r="I43" s="1"/>
      <c r="J43" s="1"/>
      <c r="K43" s="2"/>
      <c r="L43" s="2"/>
      <c r="M43" s="2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2:44" ht="14" customHeight="1">
      <c r="B44" s="5"/>
      <c r="I44" s="1"/>
      <c r="J44" s="1"/>
      <c r="K44" s="1"/>
      <c r="L44" s="1"/>
      <c r="M44" s="1"/>
      <c r="AC44" s="7"/>
      <c r="AD44" s="7"/>
      <c r="AE44" s="7"/>
      <c r="AF44" s="7"/>
      <c r="AG44" s="7"/>
      <c r="AH44" s="7"/>
      <c r="AI44" s="7"/>
    </row>
    <row r="45" spans="2:44" ht="14.5" customHeight="1">
      <c r="B45" s="5"/>
      <c r="I45" s="1"/>
      <c r="J45" s="1"/>
      <c r="K45" s="1"/>
      <c r="L45" s="1"/>
      <c r="M45" s="1"/>
    </row>
    <row r="46" spans="2:44" ht="14.5" customHeight="1">
      <c r="B46" s="5"/>
      <c r="I46" s="1"/>
      <c r="J46" s="1"/>
      <c r="K46" s="1"/>
      <c r="L46" s="1"/>
      <c r="M46" s="1"/>
    </row>
    <row r="47" spans="2:44" ht="14.5" customHeight="1" thickBot="1">
      <c r="B47" s="25" t="str">
        <f>"El criterio con el mayor peso es: "&amp;VLOOKUP(1,$G$32:$H$36,2,0)</f>
        <v>El criterio con el mayor peso es: Criterio 2</v>
      </c>
      <c r="I47" s="1"/>
      <c r="J47" s="1"/>
      <c r="K47" s="1"/>
      <c r="L47" s="1"/>
      <c r="M47" s="1"/>
    </row>
    <row r="48" spans="2:44" ht="14" customHeight="1">
      <c r="B48" s="161" t="str">
        <f>"¿Qué puntuación le das a "&amp;$O$31&amp;" en el criterio "&amp;VLOOKUP(1,$G$32:$H$36,2,0)&amp;"?"</f>
        <v>¿Qué puntuación le das a Marca 1 en el criterio Criterio 2?</v>
      </c>
      <c r="C48" s="162"/>
      <c r="D48" s="163"/>
      <c r="E48" s="145">
        <v>5</v>
      </c>
      <c r="G48" s="161" t="str">
        <f>"¿Qué puntuación le pondrías a "&amp;$P$31&amp;" en el criterio "&amp;VLOOKUP(1,$G$32:$H$36,2,0)&amp;"?"</f>
        <v>¿Qué puntuación le pondrías a Marca 2 en el criterio Criterio 2?</v>
      </c>
      <c r="H48" s="162"/>
      <c r="I48" s="163"/>
      <c r="J48" s="145">
        <v>5</v>
      </c>
      <c r="L48" s="161" t="str">
        <f>"¿Qué puntuación le pondrías a "&amp;$Q$31&amp;" en el criterio "&amp;VLOOKUP(1,$G$32:$H$36,2,0)&amp;"?"</f>
        <v>¿Qué puntuación le pondrías a Marca 3 en el criterio Criterio 2?</v>
      </c>
      <c r="M48" s="162"/>
      <c r="N48" s="163"/>
      <c r="O48" s="145">
        <v>5</v>
      </c>
      <c r="Q48" s="161" t="str">
        <f>"¿Qué puntuación le das a "&amp;$R$31&amp;" en el criterio "&amp;VLOOKUP(1,$G$32:$H$36,2,0)&amp;"?"</f>
        <v>¿Qué puntuación le das a Marca 4 en el criterio Criterio 2?</v>
      </c>
      <c r="R48" s="162"/>
      <c r="S48" s="163"/>
      <c r="T48" s="145">
        <v>5</v>
      </c>
      <c r="V48" s="161" t="str">
        <f>"¿Qué puntuación le das a "&amp;$S$31&amp;" en el criterio "&amp;VLOOKUP(1,$G$32:$H$36,2,0)&amp;"?"</f>
        <v>¿Qué puntuación le das a Marca 5 en el criterio Criterio 2?</v>
      </c>
      <c r="W48" s="162"/>
      <c r="X48" s="163"/>
      <c r="Y48" s="145">
        <v>5</v>
      </c>
      <c r="AA48" s="161" t="str">
        <f>"¿Qué puntuación le das a "&amp;$T$31&amp;" en el criterio "&amp;VLOOKUP(1,$G$32:$H$36,2,0)&amp;"?"</f>
        <v>¿Qué puntuación le das a Marca 6 en el criterio Criterio 2?</v>
      </c>
      <c r="AB48" s="162"/>
      <c r="AC48" s="163"/>
      <c r="AD48" s="145">
        <v>5</v>
      </c>
      <c r="AF48" s="161" t="str">
        <f>"¿Qué puntuación le das a "&amp;$U$31&amp;" en el criterio "&amp;VLOOKUP(1,$G$32:$H$36,2,0)&amp;"?"</f>
        <v>¿Qué puntuación le das a Marca 7 en el criterio Criterio 2?</v>
      </c>
      <c r="AG48" s="162"/>
      <c r="AH48" s="163"/>
      <c r="AI48" s="145">
        <v>5</v>
      </c>
      <c r="AK48" s="4">
        <f>MAX(AL48:AL54)</f>
        <v>5</v>
      </c>
      <c r="AL48" s="4">
        <f>E48</f>
        <v>5</v>
      </c>
      <c r="AM48" s="4" t="str">
        <f>$Y$31</f>
        <v>Marca 1</v>
      </c>
      <c r="AN48" s="14">
        <f>IF(AL48=$AK$48,AL48,0)+0.000000000007</f>
        <v>5.0000000000069997</v>
      </c>
      <c r="AO48" s="4">
        <f t="shared" ref="AO48:AO54" si="6">RANK(AN48,$AN$48:$AN$54)</f>
        <v>1</v>
      </c>
      <c r="AP48" s="4" t="str">
        <f t="shared" ref="AP48:AP54" si="7">AM48</f>
        <v>Marca 1</v>
      </c>
      <c r="AR48" s="4" t="str">
        <f>VLOOKUP(1,$AO$48:$AP$54,2,0)</f>
        <v>Marca 1</v>
      </c>
    </row>
    <row r="49" spans="2:44" ht="14.5" customHeight="1">
      <c r="B49" s="164"/>
      <c r="C49" s="160"/>
      <c r="D49" s="165"/>
      <c r="E49" s="146"/>
      <c r="G49" s="164"/>
      <c r="H49" s="160"/>
      <c r="I49" s="165"/>
      <c r="J49" s="146"/>
      <c r="L49" s="164"/>
      <c r="M49" s="160"/>
      <c r="N49" s="165"/>
      <c r="O49" s="146"/>
      <c r="Q49" s="164"/>
      <c r="R49" s="160"/>
      <c r="S49" s="165"/>
      <c r="T49" s="146"/>
      <c r="V49" s="164"/>
      <c r="W49" s="160"/>
      <c r="X49" s="165"/>
      <c r="Y49" s="146"/>
      <c r="AA49" s="164"/>
      <c r="AB49" s="160"/>
      <c r="AC49" s="165"/>
      <c r="AD49" s="146"/>
      <c r="AF49" s="164"/>
      <c r="AG49" s="160"/>
      <c r="AH49" s="165"/>
      <c r="AI49" s="146"/>
      <c r="AK49" s="4">
        <f>COUNTIF(AL48:AL54,$AK$48)</f>
        <v>7</v>
      </c>
      <c r="AL49" s="4">
        <f>J48</f>
        <v>5</v>
      </c>
      <c r="AM49" s="4" t="str">
        <f>$Z$31</f>
        <v>Marca 2</v>
      </c>
      <c r="AN49" s="14">
        <f>IF(AL49=$AK$48,AL49,0)+0.000000000006</f>
        <v>5.0000000000059996</v>
      </c>
      <c r="AO49" s="4">
        <f t="shared" si="6"/>
        <v>2</v>
      </c>
      <c r="AP49" s="4" t="str">
        <f t="shared" si="7"/>
        <v>Marca 2</v>
      </c>
      <c r="AR49" s="4" t="str">
        <f>IF($AK$49&lt;2," ",VLOOKUP(2,$AO$48:$AP$54,2,0))</f>
        <v>Marca 2</v>
      </c>
    </row>
    <row r="50" spans="2:44" ht="15" customHeight="1" thickBot="1">
      <c r="B50" s="166"/>
      <c r="C50" s="167"/>
      <c r="D50" s="168"/>
      <c r="E50" s="147"/>
      <c r="G50" s="166"/>
      <c r="H50" s="167"/>
      <c r="I50" s="168"/>
      <c r="J50" s="147"/>
      <c r="L50" s="166"/>
      <c r="M50" s="167"/>
      <c r="N50" s="168"/>
      <c r="O50" s="147"/>
      <c r="Q50" s="166"/>
      <c r="R50" s="167"/>
      <c r="S50" s="168"/>
      <c r="T50" s="147"/>
      <c r="V50" s="166"/>
      <c r="W50" s="167"/>
      <c r="X50" s="168"/>
      <c r="Y50" s="147"/>
      <c r="AA50" s="166"/>
      <c r="AB50" s="167"/>
      <c r="AC50" s="168"/>
      <c r="AD50" s="147"/>
      <c r="AF50" s="166"/>
      <c r="AG50" s="167"/>
      <c r="AH50" s="168"/>
      <c r="AI50" s="147"/>
      <c r="AL50" s="4">
        <f>O48</f>
        <v>5</v>
      </c>
      <c r="AM50" s="4" t="str">
        <f>$AA$31</f>
        <v>Marca 3</v>
      </c>
      <c r="AN50" s="14">
        <f>IF(AL50=$AK$48,AL50,0)+0.000000000005</f>
        <v>5.0000000000049996</v>
      </c>
      <c r="AO50" s="4">
        <f t="shared" si="6"/>
        <v>3</v>
      </c>
      <c r="AP50" s="4" t="str">
        <f t="shared" si="7"/>
        <v>Marca 3</v>
      </c>
      <c r="AR50" s="4" t="str">
        <f>IF($AK$49&lt;3," ",VLOOKUP(3,$AO$48:$AP$54,2,0))</f>
        <v>Marca 3</v>
      </c>
    </row>
    <row r="51" spans="2:44" ht="15">
      <c r="B51" s="15"/>
      <c r="C51" s="15"/>
      <c r="D51" s="15"/>
      <c r="E51" s="6"/>
      <c r="G51" s="15"/>
      <c r="H51" s="15"/>
      <c r="I51" s="15"/>
      <c r="J51" s="6"/>
      <c r="L51" s="15"/>
      <c r="M51" s="15"/>
      <c r="N51" s="15"/>
      <c r="O51" s="6"/>
      <c r="Q51" s="15"/>
      <c r="R51" s="15"/>
      <c r="S51" s="15"/>
      <c r="T51" s="6"/>
      <c r="V51" s="15"/>
      <c r="W51" s="15"/>
      <c r="X51" s="15"/>
      <c r="Y51" s="6"/>
      <c r="AA51" s="15"/>
      <c r="AB51" s="15"/>
      <c r="AC51" s="15"/>
      <c r="AD51" s="6"/>
      <c r="AF51" s="15"/>
      <c r="AG51" s="15"/>
      <c r="AH51" s="15"/>
      <c r="AI51" s="6"/>
      <c r="AL51" s="4">
        <f>T48</f>
        <v>5</v>
      </c>
      <c r="AM51" s="4" t="str">
        <f>$AB$31</f>
        <v>Marca 4</v>
      </c>
      <c r="AN51" s="14">
        <f>IF(AL51=$AK$48,AL51,0)+0.000000000004</f>
        <v>5.0000000000040004</v>
      </c>
      <c r="AO51" s="4">
        <f t="shared" si="6"/>
        <v>4</v>
      </c>
      <c r="AP51" s="4" t="str">
        <f t="shared" si="7"/>
        <v>Marca 4</v>
      </c>
      <c r="AR51" s="4" t="str">
        <f>IF($AK$49&lt;4," ",VLOOKUP(4,$AO$48:$AP$54,2,0))</f>
        <v>Marca 4</v>
      </c>
    </row>
    <row r="52" spans="2:44" ht="16">
      <c r="B52" s="160" t="str">
        <f>IF(AK49&gt;1,"Opciones con el máximo peso","Opcion seleccionada")</f>
        <v>Opciones con el máximo peso</v>
      </c>
      <c r="C52" s="160"/>
      <c r="D52" s="15" t="str">
        <f t="shared" ref="D52:D57" si="8">AR48</f>
        <v>Marca 1</v>
      </c>
      <c r="E52" s="6"/>
      <c r="G52" s="15"/>
      <c r="H52" s="15"/>
      <c r="I52" s="15"/>
      <c r="J52" s="6"/>
      <c r="L52" s="15"/>
      <c r="M52" s="15"/>
      <c r="N52" s="15"/>
      <c r="O52" s="6"/>
      <c r="Q52" s="15"/>
      <c r="R52" s="15"/>
      <c r="S52" s="15"/>
      <c r="T52" s="6"/>
      <c r="V52" s="15"/>
      <c r="W52" s="15"/>
      <c r="X52" s="15"/>
      <c r="Y52" s="6"/>
      <c r="AA52" s="15"/>
      <c r="AB52" s="15"/>
      <c r="AC52" s="15"/>
      <c r="AD52" s="6"/>
      <c r="AF52" s="15"/>
      <c r="AG52" s="15"/>
      <c r="AH52" s="15"/>
      <c r="AI52" s="6"/>
      <c r="AL52" s="4">
        <f>Y48</f>
        <v>5</v>
      </c>
      <c r="AM52" s="4" t="str">
        <f>$AC$31</f>
        <v>Marca 5</v>
      </c>
      <c r="AN52" s="14">
        <f>IF(AL52=$AK$48,AL52,0)+0.000000000003</f>
        <v>5.0000000000030003</v>
      </c>
      <c r="AO52" s="4">
        <f t="shared" si="6"/>
        <v>5</v>
      </c>
      <c r="AP52" s="4" t="str">
        <f t="shared" si="7"/>
        <v>Marca 5</v>
      </c>
      <c r="AR52" s="4" t="str">
        <f>IF($AK$49&lt;5," ",VLOOKUP(5,$AO$48:$AP$54,2,0))</f>
        <v>Marca 5</v>
      </c>
    </row>
    <row r="53" spans="2:44" ht="14" customHeight="1">
      <c r="B53" s="15"/>
      <c r="C53" s="15"/>
      <c r="D53" s="15" t="str">
        <f t="shared" si="8"/>
        <v>Marca 2</v>
      </c>
      <c r="E53" s="6"/>
      <c r="G53" s="15"/>
      <c r="H53" s="15"/>
      <c r="I53" s="15"/>
      <c r="J53" s="6"/>
      <c r="L53" s="15"/>
      <c r="M53" s="15"/>
      <c r="N53" s="15"/>
      <c r="O53" s="6"/>
      <c r="Q53" s="15"/>
      <c r="R53" s="15"/>
      <c r="S53" s="15"/>
      <c r="T53" s="6"/>
      <c r="V53" s="15"/>
      <c r="W53" s="15"/>
      <c r="X53" s="15"/>
      <c r="Y53" s="6"/>
      <c r="AA53" s="15"/>
      <c r="AB53" s="15"/>
      <c r="AC53" s="15"/>
      <c r="AD53" s="6"/>
      <c r="AF53" s="15"/>
      <c r="AG53" s="15"/>
      <c r="AH53" s="15"/>
      <c r="AI53" s="6"/>
      <c r="AL53" s="4">
        <f>AD48</f>
        <v>5</v>
      </c>
      <c r="AM53" s="4" t="str">
        <f>$AD$31</f>
        <v>Marca 6</v>
      </c>
      <c r="AN53" s="14">
        <f>IF(AL53=$AK$48,AL53,0)+0.000000000002</f>
        <v>5.0000000000020002</v>
      </c>
      <c r="AO53" s="4">
        <f t="shared" si="6"/>
        <v>6</v>
      </c>
      <c r="AP53" s="4" t="str">
        <f t="shared" si="7"/>
        <v>Marca 6</v>
      </c>
      <c r="AR53" s="4" t="str">
        <f>IF($AK$49&lt;6," ",VLOOKUP(6,$AO$48:$AP$54,2,0))</f>
        <v>Marca 6</v>
      </c>
    </row>
    <row r="54" spans="2:44" ht="16">
      <c r="B54" s="15"/>
      <c r="C54" s="15"/>
      <c r="D54" s="15" t="str">
        <f t="shared" si="8"/>
        <v>Marca 3</v>
      </c>
      <c r="E54" s="6"/>
      <c r="G54" s="15"/>
      <c r="H54" s="15"/>
      <c r="I54" s="15"/>
      <c r="J54" s="6"/>
      <c r="L54" s="15"/>
      <c r="M54" s="15"/>
      <c r="N54" s="15"/>
      <c r="O54" s="6"/>
      <c r="Q54" s="15"/>
      <c r="R54" s="15"/>
      <c r="S54" s="15"/>
      <c r="T54" s="6"/>
      <c r="V54" s="15"/>
      <c r="W54" s="15"/>
      <c r="X54" s="15"/>
      <c r="Y54" s="6"/>
      <c r="AA54" s="15"/>
      <c r="AB54" s="15"/>
      <c r="AC54" s="15"/>
      <c r="AD54" s="6"/>
      <c r="AF54" s="15"/>
      <c r="AG54" s="15"/>
      <c r="AH54" s="15"/>
      <c r="AI54" s="6"/>
      <c r="AL54" s="4">
        <f>AI48</f>
        <v>5</v>
      </c>
      <c r="AM54" s="4" t="str">
        <f>$AE$31</f>
        <v>Marca 7</v>
      </c>
      <c r="AN54" s="14">
        <f>IF(AL54=$AK$48,AL54,0)+0.000000000001</f>
        <v>5.0000000000010001</v>
      </c>
      <c r="AO54" s="4">
        <f t="shared" si="6"/>
        <v>7</v>
      </c>
      <c r="AP54" s="4" t="str">
        <f t="shared" si="7"/>
        <v>Marca 7</v>
      </c>
      <c r="AR54" s="4" t="str">
        <f>IF($AK$49&lt;7," ",VLOOKUP(7,$AO$48:$AP$54,2,0))</f>
        <v>Marca 7</v>
      </c>
    </row>
    <row r="55" spans="2:44" ht="16">
      <c r="B55" s="15"/>
      <c r="C55" s="15"/>
      <c r="D55" s="15" t="str">
        <f t="shared" si="8"/>
        <v>Marca 4</v>
      </c>
      <c r="E55" s="6"/>
      <c r="G55" s="15"/>
      <c r="H55" s="15"/>
      <c r="I55" s="15"/>
      <c r="J55" s="6"/>
      <c r="L55" s="15"/>
      <c r="M55" s="15"/>
      <c r="N55" s="15"/>
      <c r="O55" s="6"/>
      <c r="Q55" s="15"/>
      <c r="R55" s="15"/>
      <c r="S55" s="15"/>
      <c r="T55" s="6"/>
      <c r="V55" s="15"/>
      <c r="W55" s="15"/>
      <c r="X55" s="15"/>
      <c r="Y55" s="6"/>
      <c r="AA55" s="15"/>
      <c r="AB55" s="15"/>
      <c r="AC55" s="15"/>
      <c r="AD55" s="6"/>
      <c r="AF55" s="15"/>
      <c r="AG55" s="15"/>
      <c r="AH55" s="15"/>
      <c r="AI55" s="6"/>
    </row>
    <row r="56" spans="2:44" ht="16">
      <c r="D56" s="15" t="str">
        <f t="shared" si="8"/>
        <v>Marca 5</v>
      </c>
    </row>
    <row r="57" spans="2:44" ht="16">
      <c r="D57" s="15" t="str">
        <f t="shared" si="8"/>
        <v>Marca 6</v>
      </c>
    </row>
    <row r="58" spans="2:44" ht="16">
      <c r="D58" s="15" t="str">
        <f t="shared" ref="D58" si="9">AR54</f>
        <v>Marca 7</v>
      </c>
    </row>
    <row r="59" spans="2:44" ht="15">
      <c r="D59" s="15"/>
    </row>
    <row r="60" spans="2:44" ht="16" thickBot="1">
      <c r="B60" s="25" t="str">
        <f>"El criterio con el segundo peso es: "&amp;VLOOKUP(2,$G$32:$H$36,2,0)</f>
        <v>El criterio con el segundo peso es: Criterio 3</v>
      </c>
    </row>
    <row r="61" spans="2:44" ht="14" customHeight="1">
      <c r="B61" s="161" t="str">
        <f>"¿Qué puntuación le das a "&amp;$D$52&amp;" en el criterio "&amp;VLOOKUP(2,$G$32:$H$36,2,0)&amp;"?"</f>
        <v>¿Qué puntuación le das a Marca 1 en el criterio Criterio 3?</v>
      </c>
      <c r="C61" s="162"/>
      <c r="D61" s="163"/>
      <c r="E61" s="145">
        <v>5</v>
      </c>
      <c r="G61" s="161" t="str">
        <f>"¿Qué puntuación le das a "&amp;$D$53&amp;" en el criterio "&amp;VLOOKUP(2,$G$32:$H$36,2,0)&amp;"?"</f>
        <v>¿Qué puntuación le das a Marca 2 en el criterio Criterio 3?</v>
      </c>
      <c r="H61" s="162"/>
      <c r="I61" s="163"/>
      <c r="J61" s="145">
        <v>5</v>
      </c>
      <c r="L61" s="161" t="str">
        <f>"¿Qué puntuación le das a "&amp;$D$54&amp;" en el criterio "&amp;VLOOKUP(2,$G$32:$H$36,2,0)&amp;"?"</f>
        <v>¿Qué puntuación le das a Marca 3 en el criterio Criterio 3?</v>
      </c>
      <c r="M61" s="162"/>
      <c r="N61" s="163"/>
      <c r="O61" s="145">
        <v>5</v>
      </c>
      <c r="Q61" s="161" t="str">
        <f>"¿Qué puntuación le das a "&amp;$D$55&amp;" en el criterio "&amp;VLOOKUP(2,$G$32:$H$36,2,0)&amp;"?"</f>
        <v>¿Qué puntuación le das a Marca 4 en el criterio Criterio 3?</v>
      </c>
      <c r="R61" s="162"/>
      <c r="S61" s="163"/>
      <c r="T61" s="145">
        <v>5</v>
      </c>
      <c r="V61" s="161" t="str">
        <f>"¿Qué puntuación le das a "&amp;$D$56&amp;" en el criterio "&amp;VLOOKUP(2,$G$32:$H$36,2,0)&amp;"?"</f>
        <v>¿Qué puntuación le das a Marca 5 en el criterio Criterio 3?</v>
      </c>
      <c r="W61" s="162"/>
      <c r="X61" s="163"/>
      <c r="Y61" s="145">
        <v>5</v>
      </c>
      <c r="AA61" s="161" t="str">
        <f>"¿Qué puntuación le das a "&amp;$D$57&amp;" en el criterio "&amp;VLOOKUP(2,$G$32:$H$36,2,0)&amp;"?"</f>
        <v>¿Qué puntuación le das a Marca 6 en el criterio Criterio 3?</v>
      </c>
      <c r="AB61" s="162"/>
      <c r="AC61" s="163"/>
      <c r="AD61" s="145">
        <v>5</v>
      </c>
      <c r="AF61" s="161" t="str">
        <f>"¿Qué puntuación le das a "&amp;$D$58&amp;" en el criterio "&amp;VLOOKUP(2,$G$32:$H$36,2,0)&amp;"?"</f>
        <v>¿Qué puntuación le das a Marca 7 en el criterio Criterio 3?</v>
      </c>
      <c r="AG61" s="162"/>
      <c r="AH61" s="163"/>
      <c r="AI61" s="145">
        <v>5</v>
      </c>
      <c r="AK61" s="4">
        <f>MAX(AL61:AL67)</f>
        <v>5</v>
      </c>
      <c r="AL61" s="4">
        <f>E61</f>
        <v>5</v>
      </c>
      <c r="AM61" s="4" t="str">
        <f t="shared" ref="AM61:AM67" si="10">D52</f>
        <v>Marca 1</v>
      </c>
      <c r="AN61" s="14">
        <f>IF(AL61=$AK$61,AL61,0)+0.000000000007</f>
        <v>5.0000000000069997</v>
      </c>
      <c r="AO61" s="4">
        <f>RANK(AN61,$AN$61:$AN$67)</f>
        <v>1</v>
      </c>
      <c r="AP61" s="4" t="str">
        <f t="shared" ref="AP61:AP67" si="11">AM61</f>
        <v>Marca 1</v>
      </c>
      <c r="AR61" s="4" t="str">
        <f>VLOOKUP(1,$AO$61:$AP$67,2,0)</f>
        <v>Marca 1</v>
      </c>
    </row>
    <row r="62" spans="2:44" ht="14.25" customHeight="1">
      <c r="B62" s="164"/>
      <c r="C62" s="160"/>
      <c r="D62" s="165"/>
      <c r="E62" s="146"/>
      <c r="G62" s="164"/>
      <c r="H62" s="160"/>
      <c r="I62" s="165"/>
      <c r="J62" s="146"/>
      <c r="L62" s="164"/>
      <c r="M62" s="160"/>
      <c r="N62" s="165"/>
      <c r="O62" s="146"/>
      <c r="Q62" s="164"/>
      <c r="R62" s="160"/>
      <c r="S62" s="165"/>
      <c r="T62" s="146"/>
      <c r="V62" s="164"/>
      <c r="W62" s="160"/>
      <c r="X62" s="165"/>
      <c r="Y62" s="146"/>
      <c r="AA62" s="164"/>
      <c r="AB62" s="160"/>
      <c r="AC62" s="165"/>
      <c r="AD62" s="146"/>
      <c r="AF62" s="164"/>
      <c r="AG62" s="160"/>
      <c r="AH62" s="165"/>
      <c r="AI62" s="146"/>
      <c r="AK62" s="4">
        <f>COUNTIF(AL61:AL67,$AK$61)</f>
        <v>7</v>
      </c>
      <c r="AL62" s="4">
        <f>IF(AK49&lt;2,0,J61)</f>
        <v>5</v>
      </c>
      <c r="AM62" s="4" t="str">
        <f t="shared" si="10"/>
        <v>Marca 2</v>
      </c>
      <c r="AN62" s="14">
        <f>IF(AL62=$AK$61,AL62,0)+0.000000000006</f>
        <v>5.0000000000059996</v>
      </c>
      <c r="AO62" s="4">
        <f t="shared" ref="AO62:AO67" si="12">RANK(AN62,$AN$61:$AN$67)</f>
        <v>2</v>
      </c>
      <c r="AP62" s="4" t="str">
        <f t="shared" si="11"/>
        <v>Marca 2</v>
      </c>
      <c r="AR62" s="4" t="str">
        <f>IF($AK$62&lt;2," ",VLOOKUP(2,$AO$61:$AP$67,2,0))</f>
        <v>Marca 2</v>
      </c>
    </row>
    <row r="63" spans="2:44" ht="15" customHeight="1" thickBot="1">
      <c r="B63" s="166"/>
      <c r="C63" s="167"/>
      <c r="D63" s="168"/>
      <c r="E63" s="147"/>
      <c r="G63" s="166"/>
      <c r="H63" s="167"/>
      <c r="I63" s="168"/>
      <c r="J63" s="147"/>
      <c r="L63" s="166"/>
      <c r="M63" s="167"/>
      <c r="N63" s="168"/>
      <c r="O63" s="147"/>
      <c r="Q63" s="166"/>
      <c r="R63" s="167"/>
      <c r="S63" s="168"/>
      <c r="T63" s="147"/>
      <c r="V63" s="166"/>
      <c r="W63" s="167"/>
      <c r="X63" s="168"/>
      <c r="Y63" s="147"/>
      <c r="AA63" s="166"/>
      <c r="AB63" s="167"/>
      <c r="AC63" s="168"/>
      <c r="AD63" s="147"/>
      <c r="AF63" s="166"/>
      <c r="AG63" s="167"/>
      <c r="AH63" s="168"/>
      <c r="AI63" s="147"/>
      <c r="AL63" s="4">
        <f>IF(AK49&lt;3,0,O61)</f>
        <v>5</v>
      </c>
      <c r="AM63" s="4" t="str">
        <f t="shared" si="10"/>
        <v>Marca 3</v>
      </c>
      <c r="AN63" s="14">
        <f>IF(AL63=$AK$61,AL63,0)+0.000000000005</f>
        <v>5.0000000000049996</v>
      </c>
      <c r="AO63" s="4">
        <f t="shared" si="12"/>
        <v>3</v>
      </c>
      <c r="AP63" s="4" t="str">
        <f t="shared" si="11"/>
        <v>Marca 3</v>
      </c>
      <c r="AR63" s="4" t="str">
        <f>IF($AK$62&lt;3," ",VLOOKUP(3,$AO$61:$AP$67,2,0))</f>
        <v>Marca 3</v>
      </c>
    </row>
    <row r="64" spans="2:44" ht="15">
      <c r="B64" s="15"/>
      <c r="C64" s="15"/>
      <c r="D64" s="15"/>
      <c r="E64" s="6"/>
      <c r="G64" s="15"/>
      <c r="H64" s="15"/>
      <c r="I64" s="15"/>
      <c r="J64" s="6"/>
      <c r="L64" s="15"/>
      <c r="M64" s="15"/>
      <c r="N64" s="15"/>
      <c r="O64" s="6"/>
      <c r="Q64" s="15"/>
      <c r="R64" s="15"/>
      <c r="S64" s="15"/>
      <c r="T64" s="6"/>
      <c r="V64" s="15"/>
      <c r="W64" s="15"/>
      <c r="X64" s="15"/>
      <c r="Y64" s="6"/>
      <c r="AA64" s="15"/>
      <c r="AB64" s="15"/>
      <c r="AC64" s="15"/>
      <c r="AD64" s="6"/>
      <c r="AF64" s="15"/>
      <c r="AG64" s="15"/>
      <c r="AH64" s="15"/>
      <c r="AI64" s="6"/>
      <c r="AL64" s="4">
        <f>IF(AK49&lt;4,0,T61)</f>
        <v>5</v>
      </c>
      <c r="AM64" s="4" t="str">
        <f t="shared" si="10"/>
        <v>Marca 4</v>
      </c>
      <c r="AN64" s="14">
        <f>IF(AL64=$AK$61,AL64,0)+0.000000000004</f>
        <v>5.0000000000040004</v>
      </c>
      <c r="AO64" s="4">
        <f t="shared" si="12"/>
        <v>4</v>
      </c>
      <c r="AP64" s="4" t="str">
        <f t="shared" si="11"/>
        <v>Marca 4</v>
      </c>
      <c r="AR64" s="4" t="str">
        <f>IF($AK$62&lt;4," ",VLOOKUP(4,$AO$61:$AP$67,2,0))</f>
        <v>Marca 4</v>
      </c>
    </row>
    <row r="65" spans="2:44" ht="16">
      <c r="B65" s="160" t="str">
        <f>IF(AK62&gt;1,"Opciones con el máximo peso","Opcion seleccionada")</f>
        <v>Opciones con el máximo peso</v>
      </c>
      <c r="C65" s="160"/>
      <c r="D65" s="15" t="str">
        <f t="shared" ref="D65:D71" si="13">AR61</f>
        <v>Marca 1</v>
      </c>
      <c r="E65" s="6"/>
      <c r="G65" s="15"/>
      <c r="H65" s="15"/>
      <c r="I65" s="15"/>
      <c r="J65" s="6"/>
      <c r="L65" s="15"/>
      <c r="M65" s="15"/>
      <c r="N65" s="15"/>
      <c r="O65" s="6"/>
      <c r="Q65" s="15"/>
      <c r="R65" s="15"/>
      <c r="S65" s="15"/>
      <c r="T65" s="6"/>
      <c r="V65" s="15"/>
      <c r="W65" s="15"/>
      <c r="X65" s="15"/>
      <c r="Y65" s="6"/>
      <c r="AA65" s="15"/>
      <c r="AB65" s="15"/>
      <c r="AC65" s="15"/>
      <c r="AD65" s="6"/>
      <c r="AF65" s="15"/>
      <c r="AG65" s="15"/>
      <c r="AH65" s="15"/>
      <c r="AI65" s="6"/>
      <c r="AL65" s="4">
        <f>IF(AK49&lt;5,0,Y61)</f>
        <v>5</v>
      </c>
      <c r="AM65" s="4" t="str">
        <f t="shared" si="10"/>
        <v>Marca 5</v>
      </c>
      <c r="AN65" s="14">
        <f>IF(AL65=$AK$61,AL65,0)+0.000000000003</f>
        <v>5.0000000000030003</v>
      </c>
      <c r="AO65" s="4">
        <f t="shared" si="12"/>
        <v>5</v>
      </c>
      <c r="AP65" s="4" t="str">
        <f t="shared" si="11"/>
        <v>Marca 5</v>
      </c>
      <c r="AR65" s="4" t="str">
        <f>IF($AK$62&lt;5," ",VLOOKUP(5,$AO$48:$AP$54,2,0))</f>
        <v>Marca 5</v>
      </c>
    </row>
    <row r="66" spans="2:44" ht="16">
      <c r="B66" s="15"/>
      <c r="C66" s="15"/>
      <c r="D66" s="15" t="str">
        <f t="shared" si="13"/>
        <v>Marca 2</v>
      </c>
      <c r="E66" s="6"/>
      <c r="G66" s="15"/>
      <c r="H66" s="15"/>
      <c r="I66" s="15"/>
      <c r="J66" s="6"/>
      <c r="L66" s="15"/>
      <c r="M66" s="15"/>
      <c r="N66" s="15"/>
      <c r="O66" s="6"/>
      <c r="Q66" s="15"/>
      <c r="R66" s="15"/>
      <c r="S66" s="15"/>
      <c r="T66" s="6"/>
      <c r="V66" s="15"/>
      <c r="W66" s="15"/>
      <c r="X66" s="15"/>
      <c r="Y66" s="6"/>
      <c r="AA66" s="15"/>
      <c r="AB66" s="15"/>
      <c r="AC66" s="15"/>
      <c r="AD66" s="6"/>
      <c r="AF66" s="15"/>
      <c r="AG66" s="15"/>
      <c r="AH66" s="15"/>
      <c r="AI66" s="6"/>
      <c r="AL66" s="4">
        <f>IF(AK49&lt;6,0,AD61)</f>
        <v>5</v>
      </c>
      <c r="AM66" s="4" t="str">
        <f t="shared" si="10"/>
        <v>Marca 6</v>
      </c>
      <c r="AN66" s="14">
        <f>IF(AL66=$AK$61,AL66,0)+0.000000000002</f>
        <v>5.0000000000020002</v>
      </c>
      <c r="AO66" s="4">
        <f t="shared" si="12"/>
        <v>6</v>
      </c>
      <c r="AP66" s="4" t="str">
        <f t="shared" si="11"/>
        <v>Marca 6</v>
      </c>
      <c r="AR66" s="4" t="str">
        <f>IF($AK$62&lt;6," ",VLOOKUP(6,$AO$48:$AP$54,2,0))</f>
        <v>Marca 6</v>
      </c>
    </row>
    <row r="67" spans="2:44" ht="16">
      <c r="B67" s="15"/>
      <c r="C67" s="15"/>
      <c r="D67" s="15" t="str">
        <f t="shared" si="13"/>
        <v>Marca 3</v>
      </c>
      <c r="E67" s="6"/>
      <c r="G67" s="15"/>
      <c r="H67" s="15"/>
      <c r="I67" s="15"/>
      <c r="J67" s="6"/>
      <c r="L67" s="15"/>
      <c r="M67" s="15"/>
      <c r="N67" s="15"/>
      <c r="O67" s="6"/>
      <c r="Q67" s="15"/>
      <c r="R67" s="15"/>
      <c r="S67" s="15"/>
      <c r="T67" s="6"/>
      <c r="V67" s="15"/>
      <c r="W67" s="15"/>
      <c r="X67" s="15"/>
      <c r="Y67" s="6"/>
      <c r="AA67" s="15"/>
      <c r="AB67" s="15"/>
      <c r="AC67" s="15"/>
      <c r="AD67" s="6"/>
      <c r="AF67" s="15"/>
      <c r="AG67" s="15"/>
      <c r="AH67" s="15"/>
      <c r="AI67" s="6"/>
      <c r="AL67" s="4">
        <f>IF(AK49&lt;7,0,AI61)</f>
        <v>5</v>
      </c>
      <c r="AM67" s="4" t="str">
        <f t="shared" si="10"/>
        <v>Marca 7</v>
      </c>
      <c r="AN67" s="14">
        <f>IF(AL67=$AK$61,AL67,0)+0.000000000001</f>
        <v>5.0000000000010001</v>
      </c>
      <c r="AO67" s="4">
        <f t="shared" si="12"/>
        <v>7</v>
      </c>
      <c r="AP67" s="4" t="str">
        <f t="shared" si="11"/>
        <v>Marca 7</v>
      </c>
      <c r="AR67" s="4" t="str">
        <f>IF($AK$62&lt;7," ",VLOOKUP(7,$AO$48:$AP$54,2,0))</f>
        <v>Marca 7</v>
      </c>
    </row>
    <row r="68" spans="2:44" ht="16">
      <c r="B68" s="15"/>
      <c r="C68" s="15"/>
      <c r="D68" s="15" t="str">
        <f t="shared" si="13"/>
        <v>Marca 4</v>
      </c>
      <c r="E68" s="6"/>
      <c r="G68" s="15"/>
      <c r="H68" s="15"/>
      <c r="I68" s="15"/>
      <c r="J68" s="6"/>
      <c r="L68" s="15"/>
      <c r="M68" s="15"/>
      <c r="N68" s="15"/>
      <c r="O68" s="6"/>
      <c r="Q68" s="15"/>
      <c r="R68" s="15"/>
      <c r="S68" s="15"/>
      <c r="T68" s="6"/>
      <c r="V68" s="15"/>
      <c r="W68" s="15"/>
      <c r="X68" s="15"/>
      <c r="Y68" s="6"/>
      <c r="AA68" s="15"/>
      <c r="AB68" s="15"/>
      <c r="AC68" s="15"/>
      <c r="AD68" s="6"/>
      <c r="AF68" s="15"/>
      <c r="AG68" s="15"/>
      <c r="AH68" s="15"/>
      <c r="AI68" s="6"/>
    </row>
    <row r="69" spans="2:44" ht="16">
      <c r="D69" s="15" t="str">
        <f t="shared" si="13"/>
        <v>Marca 5</v>
      </c>
      <c r="G69" s="15"/>
      <c r="H69" s="15"/>
      <c r="I69" s="15"/>
      <c r="J69" s="6"/>
      <c r="L69" s="15"/>
      <c r="M69" s="15"/>
      <c r="N69" s="15"/>
      <c r="O69" s="6"/>
      <c r="Q69" s="15"/>
      <c r="R69" s="15"/>
      <c r="S69" s="15"/>
      <c r="T69" s="6"/>
      <c r="V69" s="15"/>
      <c r="W69" s="15"/>
      <c r="X69" s="15"/>
      <c r="Y69" s="6"/>
      <c r="AA69" s="15"/>
      <c r="AB69" s="15"/>
      <c r="AC69" s="15"/>
      <c r="AD69" s="6"/>
      <c r="AF69" s="15"/>
      <c r="AG69" s="15"/>
      <c r="AH69" s="15"/>
      <c r="AI69" s="6"/>
    </row>
    <row r="70" spans="2:44" ht="16">
      <c r="D70" s="15" t="str">
        <f t="shared" si="13"/>
        <v>Marca 6</v>
      </c>
      <c r="G70" s="15"/>
      <c r="H70" s="15"/>
      <c r="I70" s="15"/>
      <c r="J70" s="6"/>
      <c r="L70" s="15"/>
      <c r="M70" s="15"/>
      <c r="N70" s="15"/>
      <c r="O70" s="6"/>
      <c r="Q70" s="15"/>
      <c r="R70" s="15"/>
      <c r="S70" s="15"/>
      <c r="T70" s="6"/>
      <c r="V70" s="15"/>
      <c r="W70" s="15"/>
      <c r="X70" s="15"/>
      <c r="Y70" s="6"/>
      <c r="AA70" s="15"/>
      <c r="AB70" s="15"/>
      <c r="AC70" s="15"/>
      <c r="AD70" s="6"/>
      <c r="AF70" s="15"/>
      <c r="AG70" s="15"/>
      <c r="AH70" s="15"/>
      <c r="AI70" s="6"/>
    </row>
    <row r="71" spans="2:44" ht="16">
      <c r="D71" s="15" t="str">
        <f t="shared" si="13"/>
        <v>Marca 7</v>
      </c>
      <c r="G71" s="15"/>
      <c r="H71" s="15"/>
      <c r="I71" s="15"/>
      <c r="J71" s="6"/>
      <c r="L71" s="15"/>
      <c r="M71" s="15"/>
      <c r="N71" s="15"/>
      <c r="O71" s="6"/>
      <c r="Q71" s="15"/>
      <c r="R71" s="15"/>
      <c r="S71" s="15"/>
      <c r="T71" s="6"/>
      <c r="V71" s="15"/>
      <c r="W71" s="15"/>
      <c r="X71" s="15"/>
      <c r="Y71" s="6"/>
      <c r="AA71" s="15"/>
      <c r="AB71" s="15"/>
      <c r="AC71" s="15"/>
      <c r="AD71" s="6"/>
      <c r="AF71" s="15"/>
      <c r="AG71" s="15"/>
      <c r="AH71" s="15"/>
      <c r="AI71" s="6"/>
    </row>
    <row r="72" spans="2:44" ht="15">
      <c r="D72" s="15"/>
      <c r="G72" s="15"/>
      <c r="H72" s="15"/>
      <c r="I72" s="15"/>
      <c r="J72" s="6"/>
      <c r="L72" s="15"/>
      <c r="M72" s="15"/>
      <c r="N72" s="15"/>
      <c r="O72" s="6"/>
      <c r="Q72" s="15"/>
      <c r="R72" s="15"/>
      <c r="S72" s="15"/>
      <c r="T72" s="6"/>
      <c r="V72" s="15"/>
      <c r="W72" s="15"/>
      <c r="X72" s="15"/>
      <c r="Y72" s="6"/>
      <c r="AA72" s="15"/>
      <c r="AB72" s="15"/>
      <c r="AC72" s="15"/>
      <c r="AD72" s="6"/>
      <c r="AF72" s="15"/>
      <c r="AG72" s="15"/>
      <c r="AH72" s="15"/>
      <c r="AI72" s="6"/>
    </row>
    <row r="73" spans="2:44" ht="16" thickBot="1">
      <c r="B73" s="25" t="str">
        <f>"El criterio con el tercer peso es: "&amp;VLOOKUP(3,$G$32:$H$36,2,0)</f>
        <v>El criterio con el tercer peso es: Criterio 1</v>
      </c>
    </row>
    <row r="74" spans="2:44" ht="14" customHeight="1">
      <c r="B74" s="161" t="str">
        <f>"¿Qué puntuación le das a "&amp;$D$65&amp;" en el criterio "&amp;VLOOKUP(3,$G$32:$H$36,2,0)&amp;"?"</f>
        <v>¿Qué puntuación le das a Marca 1 en el criterio Criterio 1?</v>
      </c>
      <c r="C74" s="162"/>
      <c r="D74" s="163"/>
      <c r="E74" s="145">
        <v>5</v>
      </c>
      <c r="G74" s="161" t="str">
        <f>"¿Qué puntuación le das a "&amp;$D$66&amp;" en el criterio "&amp;VLOOKUP(3,$G$32:$H$36,2,0)&amp;"?"</f>
        <v>¿Qué puntuación le das a Marca 2 en el criterio Criterio 1?</v>
      </c>
      <c r="H74" s="162"/>
      <c r="I74" s="163"/>
      <c r="J74" s="145">
        <v>5</v>
      </c>
      <c r="L74" s="161" t="str">
        <f>"¿Qué puntuación le das a "&amp;$D$67&amp;" en el criterio "&amp;VLOOKUP(3,$G$32:$H$36,2,0)&amp;"?"</f>
        <v>¿Qué puntuación le das a Marca 3 en el criterio Criterio 1?</v>
      </c>
      <c r="M74" s="162"/>
      <c r="N74" s="163"/>
      <c r="O74" s="145">
        <v>5</v>
      </c>
      <c r="Q74" s="161" t="str">
        <f>"¿Qué puntuación le das a "&amp;$D$68&amp;" en el criterio "&amp;VLOOKUP(3,$G$32:$H$36,2,0)&amp;"?"</f>
        <v>¿Qué puntuación le das a Marca 4 en el criterio Criterio 1?</v>
      </c>
      <c r="R74" s="162"/>
      <c r="S74" s="163"/>
      <c r="T74" s="145">
        <v>5</v>
      </c>
      <c r="V74" s="161" t="str">
        <f>"¿Qué puntuación le das a "&amp;$D$69&amp;" en el criterio "&amp;VLOOKUP(3,$G$32:$H$36,2,0)&amp;"?"</f>
        <v>¿Qué puntuación le das a Marca 5 en el criterio Criterio 1?</v>
      </c>
      <c r="W74" s="162"/>
      <c r="X74" s="163"/>
      <c r="Y74" s="145">
        <v>5</v>
      </c>
      <c r="AA74" s="161" t="str">
        <f>"¿Qué puntuación le das a "&amp;$D$70&amp;" en el criterio "&amp;VLOOKUP(3,$G$32:$H$36,2,0)&amp;"?"</f>
        <v>¿Qué puntuación le das a Marca 6 en el criterio Criterio 1?</v>
      </c>
      <c r="AB74" s="162"/>
      <c r="AC74" s="163"/>
      <c r="AD74" s="145">
        <v>5</v>
      </c>
      <c r="AF74" s="161" t="str">
        <f>"¿Qué puntuación le das a "&amp;$D$71&amp;" en el criterio "&amp;VLOOKUP(3,$G$32:$H$36,2,0)&amp;"?"</f>
        <v>¿Qué puntuación le das a Marca 7 en el criterio Criterio 1?</v>
      </c>
      <c r="AG74" s="162"/>
      <c r="AH74" s="163"/>
      <c r="AI74" s="145">
        <v>5</v>
      </c>
      <c r="AK74" s="4">
        <f>MAX(AL74:AL80)</f>
        <v>5</v>
      </c>
      <c r="AL74" s="4">
        <f>E74</f>
        <v>5</v>
      </c>
      <c r="AM74" s="4" t="str">
        <f t="shared" ref="AM74:AM80" si="14">D65</f>
        <v>Marca 1</v>
      </c>
      <c r="AN74" s="14">
        <f>IF(AL74=$AK$74,AL74,0)+0.000000000007</f>
        <v>5.0000000000069997</v>
      </c>
      <c r="AO74" s="4">
        <f>RANK(AN74,$AN$74:$AN$80)</f>
        <v>1</v>
      </c>
      <c r="AP74" s="4" t="str">
        <f t="shared" ref="AP74:AP80" si="15">AM74</f>
        <v>Marca 1</v>
      </c>
      <c r="AR74" s="4" t="str">
        <f>VLOOKUP(1,$AO$74:$AP$80,2,0)</f>
        <v>Marca 1</v>
      </c>
    </row>
    <row r="75" spans="2:44" ht="14.25" customHeight="1">
      <c r="B75" s="164"/>
      <c r="C75" s="160"/>
      <c r="D75" s="165"/>
      <c r="E75" s="146"/>
      <c r="G75" s="164"/>
      <c r="H75" s="160"/>
      <c r="I75" s="165"/>
      <c r="J75" s="146"/>
      <c r="L75" s="164"/>
      <c r="M75" s="160"/>
      <c r="N75" s="165"/>
      <c r="O75" s="146"/>
      <c r="Q75" s="164"/>
      <c r="R75" s="160"/>
      <c r="S75" s="165"/>
      <c r="T75" s="146"/>
      <c r="V75" s="164"/>
      <c r="W75" s="160"/>
      <c r="X75" s="165"/>
      <c r="Y75" s="146"/>
      <c r="AA75" s="164"/>
      <c r="AB75" s="160"/>
      <c r="AC75" s="165"/>
      <c r="AD75" s="146"/>
      <c r="AF75" s="164"/>
      <c r="AG75" s="160"/>
      <c r="AH75" s="165"/>
      <c r="AI75" s="146"/>
      <c r="AK75" s="4">
        <f>COUNTIF(AL74:AL80,$AK$74)</f>
        <v>7</v>
      </c>
      <c r="AL75" s="4">
        <f>IF(AK62&lt;2,0,J74)</f>
        <v>5</v>
      </c>
      <c r="AM75" s="4" t="str">
        <f t="shared" si="14"/>
        <v>Marca 2</v>
      </c>
      <c r="AN75" s="14">
        <f>IF(AL75=$AK$74,AL75,0)+0.000000000006</f>
        <v>5.0000000000059996</v>
      </c>
      <c r="AO75" s="4">
        <f t="shared" ref="AO75:AO80" si="16">RANK(AN75,$AN$74:$AN$80)</f>
        <v>2</v>
      </c>
      <c r="AP75" s="4" t="str">
        <f t="shared" si="15"/>
        <v>Marca 2</v>
      </c>
      <c r="AR75" s="4" t="str">
        <f>IF($AK$75&lt;2," ",VLOOKUP(2,$AO$74:$AP$80,2,0))</f>
        <v>Marca 2</v>
      </c>
    </row>
    <row r="76" spans="2:44" ht="15" customHeight="1" thickBot="1">
      <c r="B76" s="166"/>
      <c r="C76" s="167"/>
      <c r="D76" s="168"/>
      <c r="E76" s="147"/>
      <c r="G76" s="166"/>
      <c r="H76" s="167"/>
      <c r="I76" s="168"/>
      <c r="J76" s="147"/>
      <c r="L76" s="166"/>
      <c r="M76" s="167"/>
      <c r="N76" s="168"/>
      <c r="O76" s="147"/>
      <c r="Q76" s="166"/>
      <c r="R76" s="167"/>
      <c r="S76" s="168"/>
      <c r="T76" s="147"/>
      <c r="V76" s="166"/>
      <c r="W76" s="167"/>
      <c r="X76" s="168"/>
      <c r="Y76" s="147"/>
      <c r="AA76" s="166"/>
      <c r="AB76" s="167"/>
      <c r="AC76" s="168"/>
      <c r="AD76" s="147"/>
      <c r="AF76" s="166"/>
      <c r="AG76" s="167"/>
      <c r="AH76" s="168"/>
      <c r="AI76" s="147"/>
      <c r="AL76" s="4">
        <f>IF(AK62&lt;3,0,O74)</f>
        <v>5</v>
      </c>
      <c r="AM76" s="4" t="str">
        <f t="shared" si="14"/>
        <v>Marca 3</v>
      </c>
      <c r="AN76" s="14">
        <f>IF(AL76=$AK$74,AL76,0)+0.000000000005</f>
        <v>5.0000000000049996</v>
      </c>
      <c r="AO76" s="4">
        <f t="shared" si="16"/>
        <v>3</v>
      </c>
      <c r="AP76" s="4" t="str">
        <f t="shared" si="15"/>
        <v>Marca 3</v>
      </c>
      <c r="AR76" s="4" t="str">
        <f>IF($AK$75&lt;3," ",VLOOKUP(3,$AO$74:$AP$80,2,0))</f>
        <v>Marca 3</v>
      </c>
    </row>
    <row r="77" spans="2:44" ht="15">
      <c r="B77" s="15"/>
      <c r="C77" s="15"/>
      <c r="D77" s="15"/>
      <c r="E77" s="6"/>
      <c r="AL77" s="4">
        <f>IF(AK62&lt;4,0,T74)</f>
        <v>5</v>
      </c>
      <c r="AM77" s="4" t="str">
        <f t="shared" si="14"/>
        <v>Marca 4</v>
      </c>
      <c r="AN77" s="14">
        <f>IF(AL77=$AK$74,AL77,0)+0.000000000004</f>
        <v>5.0000000000040004</v>
      </c>
      <c r="AO77" s="4">
        <f t="shared" si="16"/>
        <v>4</v>
      </c>
      <c r="AP77" s="4" t="str">
        <f t="shared" si="15"/>
        <v>Marca 4</v>
      </c>
      <c r="AR77" s="4" t="str">
        <f>IF($AK$75&lt;4," ",VLOOKUP(4,$AO$74:$AP$80,2,0))</f>
        <v>Marca 4</v>
      </c>
    </row>
    <row r="78" spans="2:44" ht="16">
      <c r="B78" s="160" t="str">
        <f>IF(AK75&gt;1,"Opciones con el máximo peso","Opcion seleccionada")</f>
        <v>Opciones con el máximo peso</v>
      </c>
      <c r="C78" s="160"/>
      <c r="D78" s="15" t="str">
        <f t="shared" ref="D78:D84" si="17">AR74</f>
        <v>Marca 1</v>
      </c>
      <c r="E78" s="6"/>
      <c r="AL78" s="4">
        <f>IF(AK62&lt;5,0,Y74)</f>
        <v>5</v>
      </c>
      <c r="AM78" s="4" t="str">
        <f t="shared" si="14"/>
        <v>Marca 5</v>
      </c>
      <c r="AN78" s="14">
        <f>IF(AL78=$AK$74,AL78,0)+0.000000000003</f>
        <v>5.0000000000030003</v>
      </c>
      <c r="AO78" s="4">
        <f t="shared" si="16"/>
        <v>5</v>
      </c>
      <c r="AP78" s="4" t="str">
        <f t="shared" si="15"/>
        <v>Marca 5</v>
      </c>
      <c r="AR78" s="4" t="str">
        <f>IF($AK$75&lt;4," ",VLOOKUP(5,$AO$74:$AP$80,2,0))</f>
        <v>Marca 5</v>
      </c>
    </row>
    <row r="79" spans="2:44" ht="16">
      <c r="B79" s="15"/>
      <c r="C79" s="15"/>
      <c r="D79" s="15" t="str">
        <f t="shared" si="17"/>
        <v>Marca 2</v>
      </c>
      <c r="E79" s="6"/>
      <c r="AL79" s="4">
        <f>IF(AK62&lt;6,0,AD74)</f>
        <v>5</v>
      </c>
      <c r="AM79" s="4" t="str">
        <f t="shared" si="14"/>
        <v>Marca 6</v>
      </c>
      <c r="AN79" s="14">
        <f>IF(AL79=$AK$74,AL79,0)+0.000000000002</f>
        <v>5.0000000000020002</v>
      </c>
      <c r="AO79" s="4">
        <f t="shared" si="16"/>
        <v>6</v>
      </c>
      <c r="AP79" s="4" t="str">
        <f t="shared" si="15"/>
        <v>Marca 6</v>
      </c>
      <c r="AR79" s="4" t="str">
        <f>IF($AK$75&lt;4," ",VLOOKUP(6,$AO$74:$AP$80,2,0))</f>
        <v>Marca 6</v>
      </c>
    </row>
    <row r="80" spans="2:44" ht="16">
      <c r="B80" s="15"/>
      <c r="C80" s="15"/>
      <c r="D80" s="15" t="str">
        <f t="shared" si="17"/>
        <v>Marca 3</v>
      </c>
      <c r="E80" s="6"/>
      <c r="AL80" s="4">
        <f>IF(AK62&lt;7,0,AI74)</f>
        <v>5</v>
      </c>
      <c r="AM80" s="4" t="str">
        <f t="shared" si="14"/>
        <v>Marca 7</v>
      </c>
      <c r="AN80" s="14">
        <f>IF(AL80=$AK$74,AL80,0)+0.000000000001</f>
        <v>5.0000000000010001</v>
      </c>
      <c r="AO80" s="4">
        <f t="shared" si="16"/>
        <v>7</v>
      </c>
      <c r="AP80" s="4" t="str">
        <f t="shared" si="15"/>
        <v>Marca 7</v>
      </c>
      <c r="AR80" s="4" t="str">
        <f>IF($AK$75&lt;4," ",VLOOKUP(7,$AO$74:$AP$80,2,0))</f>
        <v>Marca 7</v>
      </c>
    </row>
    <row r="81" spans="2:44" ht="16">
      <c r="B81" s="15"/>
      <c r="C81" s="15"/>
      <c r="D81" s="15" t="str">
        <f t="shared" si="17"/>
        <v>Marca 4</v>
      </c>
      <c r="E81" s="6"/>
    </row>
    <row r="82" spans="2:44" ht="16">
      <c r="D82" s="15" t="str">
        <f t="shared" si="17"/>
        <v>Marca 5</v>
      </c>
    </row>
    <row r="83" spans="2:44" ht="16">
      <c r="D83" s="15" t="str">
        <f t="shared" si="17"/>
        <v>Marca 6</v>
      </c>
    </row>
    <row r="84" spans="2:44" ht="16">
      <c r="D84" s="15" t="str">
        <f t="shared" si="17"/>
        <v>Marca 7</v>
      </c>
    </row>
    <row r="85" spans="2:44" ht="15">
      <c r="D85" s="15"/>
    </row>
    <row r="86" spans="2:44" ht="16" thickBot="1">
      <c r="B86" s="25" t="str">
        <f>"El criterio con el cuarto peso es: "&amp;VLOOKUP(4,$G$32:$H$36,2,0)</f>
        <v>El criterio con el cuarto peso es: Criterio 5</v>
      </c>
    </row>
    <row r="87" spans="2:44" ht="14" customHeight="1">
      <c r="B87" s="161" t="str">
        <f>"¿Qué puntuación le das a "&amp;D78&amp;" en el criterio "&amp;VLOOKUP(4,$G$32:$H$36,2,0)&amp;"?"</f>
        <v>¿Qué puntuación le das a Marca 1 en el criterio Criterio 5?</v>
      </c>
      <c r="C87" s="162"/>
      <c r="D87" s="163"/>
      <c r="E87" s="145">
        <v>5</v>
      </c>
      <c r="G87" s="161" t="str">
        <f>"¿Qué puntuación le das a "&amp;$D$79&amp;" en el criterio "&amp;VLOOKUP(4,$G$32:$H$36,2,0)&amp;"?"</f>
        <v>¿Qué puntuación le das a Marca 2 en el criterio Criterio 5?</v>
      </c>
      <c r="H87" s="162"/>
      <c r="I87" s="163"/>
      <c r="J87" s="145">
        <v>5</v>
      </c>
      <c r="L87" s="161" t="str">
        <f>"¿Qué puntuación le das a "&amp;$D$80&amp;" en el criterio "&amp;VLOOKUP(4,$G$32:$H$36,2,0)&amp;"?"</f>
        <v>¿Qué puntuación le das a Marca 3 en el criterio Criterio 5?</v>
      </c>
      <c r="M87" s="162"/>
      <c r="N87" s="163"/>
      <c r="O87" s="145">
        <v>5</v>
      </c>
      <c r="Q87" s="161" t="str">
        <f>"¿Qué puntuación le das a "&amp;$D$81&amp;" en el criterio "&amp;VLOOKUP(4,$G$32:$H$36,2,0)&amp;"?"</f>
        <v>¿Qué puntuación le das a Marca 4 en el criterio Criterio 5?</v>
      </c>
      <c r="R87" s="162"/>
      <c r="S87" s="163"/>
      <c r="T87" s="145">
        <v>5</v>
      </c>
      <c r="V87" s="161" t="str">
        <f>"¿Qué puntuación le das a "&amp;$D$82&amp;" en el criterio "&amp;VLOOKUP(4,$G$32:$H$36,2,0)&amp;"?"</f>
        <v>¿Qué puntuación le das a Marca 5 en el criterio Criterio 5?</v>
      </c>
      <c r="W87" s="162"/>
      <c r="X87" s="163"/>
      <c r="Y87" s="145">
        <v>5</v>
      </c>
      <c r="AA87" s="161" t="str">
        <f>"¿Qué puntuación le das a "&amp;$D$83&amp;" en el criterio "&amp;VLOOKUP(4,$G$32:$H$36,2,0)&amp;"?"</f>
        <v>¿Qué puntuación le das a Marca 6 en el criterio Criterio 5?</v>
      </c>
      <c r="AB87" s="162"/>
      <c r="AC87" s="163"/>
      <c r="AD87" s="145">
        <v>5</v>
      </c>
      <c r="AF87" s="161" t="str">
        <f>"¿Qué puntuación le das a "&amp;$D$84&amp;" en el criterio "&amp;VLOOKUP(4,$G$32:$H$36,2,0)&amp;"?"</f>
        <v>¿Qué puntuación le das a Marca 7 en el criterio Criterio 5?</v>
      </c>
      <c r="AG87" s="162"/>
      <c r="AH87" s="163"/>
      <c r="AI87" s="145">
        <v>5</v>
      </c>
      <c r="AK87" s="4">
        <f>MAX(AL87:AL93)</f>
        <v>5</v>
      </c>
      <c r="AL87" s="4">
        <f>E87</f>
        <v>5</v>
      </c>
      <c r="AM87" s="4" t="str">
        <f t="shared" ref="AM87:AM93" si="18">D78</f>
        <v>Marca 1</v>
      </c>
      <c r="AN87" s="14">
        <f>IF(AL87=$AK$87,AL87,0)+0.000000000007</f>
        <v>5.0000000000069997</v>
      </c>
      <c r="AO87" s="4">
        <f>RANK(AN87,$AN$87:$AN$93)</f>
        <v>1</v>
      </c>
      <c r="AP87" s="4" t="str">
        <f t="shared" ref="AP87:AP93" si="19">AM87</f>
        <v>Marca 1</v>
      </c>
      <c r="AR87" s="4" t="str">
        <f>VLOOKUP(1,$AO$87:$AP$93,2,0)</f>
        <v>Marca 1</v>
      </c>
    </row>
    <row r="88" spans="2:44" ht="14.25" customHeight="1">
      <c r="B88" s="164"/>
      <c r="C88" s="160"/>
      <c r="D88" s="165"/>
      <c r="E88" s="146"/>
      <c r="G88" s="164"/>
      <c r="H88" s="160"/>
      <c r="I88" s="165"/>
      <c r="J88" s="146"/>
      <c r="L88" s="164"/>
      <c r="M88" s="160"/>
      <c r="N88" s="165"/>
      <c r="O88" s="146"/>
      <c r="P88" s="16"/>
      <c r="Q88" s="164"/>
      <c r="R88" s="160"/>
      <c r="S88" s="165"/>
      <c r="T88" s="146"/>
      <c r="V88" s="164"/>
      <c r="W88" s="160"/>
      <c r="X88" s="165"/>
      <c r="Y88" s="146"/>
      <c r="AA88" s="164"/>
      <c r="AB88" s="160"/>
      <c r="AC88" s="165"/>
      <c r="AD88" s="146"/>
      <c r="AF88" s="164"/>
      <c r="AG88" s="160"/>
      <c r="AH88" s="165"/>
      <c r="AI88" s="146"/>
      <c r="AK88" s="4">
        <f>COUNTIF(AL87:AL93,$AK$87)</f>
        <v>7</v>
      </c>
      <c r="AL88" s="4">
        <f>IF(AK75&lt;2,0,J87)</f>
        <v>5</v>
      </c>
      <c r="AM88" s="4" t="str">
        <f t="shared" si="18"/>
        <v>Marca 2</v>
      </c>
      <c r="AN88" s="14">
        <f>IF(AL88=$AK$87,AL88,0)+0.000000000006</f>
        <v>5.0000000000059996</v>
      </c>
      <c r="AO88" s="4">
        <f t="shared" ref="AO88:AO93" si="20">RANK(AN88,$AN$87:$AN$93)</f>
        <v>2</v>
      </c>
      <c r="AP88" s="4" t="str">
        <f t="shared" si="19"/>
        <v>Marca 2</v>
      </c>
      <c r="AR88" s="4" t="str">
        <f>IF($AK$88&lt;2," ",VLOOKUP(2,$AO$87:$AP$93,2,0))</f>
        <v>Marca 2</v>
      </c>
    </row>
    <row r="89" spans="2:44" ht="15" customHeight="1" thickBot="1">
      <c r="B89" s="166"/>
      <c r="C89" s="167"/>
      <c r="D89" s="168"/>
      <c r="E89" s="147"/>
      <c r="G89" s="166"/>
      <c r="H89" s="167"/>
      <c r="I89" s="168"/>
      <c r="J89" s="147"/>
      <c r="L89" s="166"/>
      <c r="M89" s="167"/>
      <c r="N89" s="168"/>
      <c r="O89" s="147"/>
      <c r="Q89" s="166"/>
      <c r="R89" s="167"/>
      <c r="S89" s="168"/>
      <c r="T89" s="147"/>
      <c r="V89" s="166"/>
      <c r="W89" s="167"/>
      <c r="X89" s="168"/>
      <c r="Y89" s="147"/>
      <c r="AA89" s="166"/>
      <c r="AB89" s="167"/>
      <c r="AC89" s="168"/>
      <c r="AD89" s="147"/>
      <c r="AF89" s="166"/>
      <c r="AG89" s="167"/>
      <c r="AH89" s="168"/>
      <c r="AI89" s="147"/>
      <c r="AL89" s="4">
        <f>IF(AK75&lt;3,0,O87)</f>
        <v>5</v>
      </c>
      <c r="AM89" s="4" t="str">
        <f t="shared" si="18"/>
        <v>Marca 3</v>
      </c>
      <c r="AN89" s="14">
        <f>IF(AL89=$AK$87,AL89,0)+0.000000000005</f>
        <v>5.0000000000049996</v>
      </c>
      <c r="AO89" s="4">
        <f t="shared" si="20"/>
        <v>3</v>
      </c>
      <c r="AP89" s="4" t="str">
        <f t="shared" si="19"/>
        <v>Marca 3</v>
      </c>
      <c r="AR89" s="4" t="str">
        <f>IF($AK$75&lt;2," ",VLOOKUP(3,$AO$87:$AP$93,2,0))</f>
        <v>Marca 3</v>
      </c>
    </row>
    <row r="90" spans="2:44" ht="15">
      <c r="B90" s="15"/>
      <c r="C90" s="15"/>
      <c r="D90" s="15"/>
      <c r="E90" s="6"/>
      <c r="AL90" s="4">
        <f>IF(AK75&lt;4,0,T87)</f>
        <v>5</v>
      </c>
      <c r="AM90" s="4" t="str">
        <f t="shared" si="18"/>
        <v>Marca 4</v>
      </c>
      <c r="AN90" s="14">
        <f>IF(AL90=$AK$87,AL90,0)+0.000000000004</f>
        <v>5.0000000000040004</v>
      </c>
      <c r="AO90" s="4">
        <f t="shared" si="20"/>
        <v>4</v>
      </c>
      <c r="AP90" s="4" t="str">
        <f t="shared" si="19"/>
        <v>Marca 4</v>
      </c>
      <c r="AR90" s="4" t="str">
        <f>IF($AK$75&lt;2," ",VLOOKUP(4,$AO$87:$AP$93,2,0))</f>
        <v>Marca 4</v>
      </c>
    </row>
    <row r="91" spans="2:44" ht="16">
      <c r="B91" s="160" t="str">
        <f>IF(AK88&gt;1,"Opciones con el máximo peso","Opcion seleccionada")</f>
        <v>Opciones con el máximo peso</v>
      </c>
      <c r="C91" s="160"/>
      <c r="D91" s="15" t="str">
        <f t="shared" ref="D91:D97" si="21">AR87</f>
        <v>Marca 1</v>
      </c>
      <c r="E91" s="6"/>
      <c r="AL91" s="4">
        <f>IF(AK75&lt;5,0,Y87)</f>
        <v>5</v>
      </c>
      <c r="AM91" s="4" t="str">
        <f t="shared" si="18"/>
        <v>Marca 5</v>
      </c>
      <c r="AN91" s="14">
        <f>IF(AL91=$AK$87,AL91,0)+0.000000000003</f>
        <v>5.0000000000030003</v>
      </c>
      <c r="AO91" s="4">
        <f t="shared" si="20"/>
        <v>5</v>
      </c>
      <c r="AP91" s="4" t="str">
        <f t="shared" si="19"/>
        <v>Marca 5</v>
      </c>
      <c r="AR91" s="4" t="str">
        <f>IF($AK$75&lt;2," ",VLOOKUP(5,$AO$87:$AP$93,2,0))</f>
        <v>Marca 5</v>
      </c>
    </row>
    <row r="92" spans="2:44" ht="16">
      <c r="B92" s="15"/>
      <c r="C92" s="15"/>
      <c r="D92" s="15" t="str">
        <f t="shared" si="21"/>
        <v>Marca 2</v>
      </c>
      <c r="E92" s="6"/>
      <c r="G92" s="160"/>
      <c r="H92" s="160"/>
      <c r="I92" s="160"/>
      <c r="J92" s="159"/>
      <c r="L92" s="160"/>
      <c r="M92" s="160"/>
      <c r="N92" s="160"/>
      <c r="O92" s="159"/>
      <c r="Q92" s="160"/>
      <c r="R92" s="160"/>
      <c r="S92" s="160"/>
      <c r="T92" s="159"/>
      <c r="V92" s="160"/>
      <c r="W92" s="160"/>
      <c r="X92" s="160"/>
      <c r="Y92" s="159"/>
      <c r="AA92" s="160"/>
      <c r="AB92" s="160"/>
      <c r="AC92" s="160"/>
      <c r="AD92" s="159"/>
      <c r="AF92" s="160"/>
      <c r="AG92" s="160"/>
      <c r="AH92" s="160"/>
      <c r="AI92" s="159"/>
      <c r="AL92" s="4">
        <f>IF(AK75&lt;6,0,AD87)</f>
        <v>5</v>
      </c>
      <c r="AM92" s="4" t="str">
        <f t="shared" si="18"/>
        <v>Marca 6</v>
      </c>
      <c r="AN92" s="14">
        <f>IF(AL92=$AK$87,AL92,0)+0.000000000002</f>
        <v>5.0000000000020002</v>
      </c>
      <c r="AO92" s="4">
        <f t="shared" si="20"/>
        <v>6</v>
      </c>
      <c r="AP92" s="4" t="str">
        <f t="shared" si="19"/>
        <v>Marca 6</v>
      </c>
      <c r="AR92" s="4" t="str">
        <f>IF($AK$75&lt;2," ",VLOOKUP(6,$AO$87:$AP$93,2,0))</f>
        <v>Marca 6</v>
      </c>
    </row>
    <row r="93" spans="2:44" ht="16">
      <c r="B93" s="15"/>
      <c r="C93" s="15"/>
      <c r="D93" s="15" t="str">
        <f t="shared" si="21"/>
        <v>Marca 3</v>
      </c>
      <c r="E93" s="6"/>
      <c r="G93" s="160"/>
      <c r="H93" s="160"/>
      <c r="I93" s="160"/>
      <c r="J93" s="159"/>
      <c r="L93" s="160"/>
      <c r="M93" s="160"/>
      <c r="N93" s="160"/>
      <c r="O93" s="159"/>
      <c r="Q93" s="160"/>
      <c r="R93" s="160"/>
      <c r="S93" s="160"/>
      <c r="T93" s="159"/>
      <c r="V93" s="160"/>
      <c r="W93" s="160"/>
      <c r="X93" s="160"/>
      <c r="Y93" s="159"/>
      <c r="AA93" s="160"/>
      <c r="AB93" s="160"/>
      <c r="AC93" s="160"/>
      <c r="AD93" s="159"/>
      <c r="AF93" s="160"/>
      <c r="AG93" s="160"/>
      <c r="AH93" s="160"/>
      <c r="AI93" s="159"/>
      <c r="AL93" s="4">
        <f>IF(AK75&lt;7,0,AI87)</f>
        <v>5</v>
      </c>
      <c r="AM93" s="4" t="str">
        <f t="shared" si="18"/>
        <v>Marca 7</v>
      </c>
      <c r="AN93" s="14">
        <f>IF(AL93=$AK$87,AL93,0)+0.000000000001</f>
        <v>5.0000000000010001</v>
      </c>
      <c r="AO93" s="4">
        <f t="shared" si="20"/>
        <v>7</v>
      </c>
      <c r="AP93" s="4" t="str">
        <f t="shared" si="19"/>
        <v>Marca 7</v>
      </c>
      <c r="AR93" s="4" t="str">
        <f>IF($AK$75&lt;2," ",VLOOKUP(7,$AO$87:$AP$93,2,0))</f>
        <v>Marca 7</v>
      </c>
    </row>
    <row r="94" spans="2:44" ht="16">
      <c r="B94" s="15"/>
      <c r="C94" s="15"/>
      <c r="D94" s="15" t="str">
        <f t="shared" si="21"/>
        <v>Marca 4</v>
      </c>
      <c r="E94" s="6"/>
      <c r="G94" s="160"/>
      <c r="H94" s="160"/>
      <c r="I94" s="160"/>
      <c r="J94" s="159"/>
      <c r="L94" s="160"/>
      <c r="M94" s="160"/>
      <c r="N94" s="160"/>
      <c r="O94" s="159"/>
      <c r="Q94" s="160"/>
      <c r="R94" s="160"/>
      <c r="S94" s="160"/>
      <c r="T94" s="159"/>
      <c r="V94" s="160"/>
      <c r="W94" s="160"/>
      <c r="X94" s="160"/>
      <c r="Y94" s="159"/>
      <c r="AA94" s="160"/>
      <c r="AB94" s="160"/>
      <c r="AC94" s="160"/>
      <c r="AD94" s="159"/>
      <c r="AF94" s="160"/>
      <c r="AG94" s="160"/>
      <c r="AH94" s="160"/>
      <c r="AI94" s="159"/>
    </row>
    <row r="95" spans="2:44" ht="16">
      <c r="D95" s="15" t="str">
        <f t="shared" si="21"/>
        <v>Marca 5</v>
      </c>
    </row>
    <row r="96" spans="2:44" ht="16">
      <c r="D96" s="15" t="str">
        <f t="shared" si="21"/>
        <v>Marca 6</v>
      </c>
    </row>
    <row r="97" spans="2:44" ht="16">
      <c r="D97" s="15" t="str">
        <f t="shared" si="21"/>
        <v>Marca 7</v>
      </c>
      <c r="G97" s="26"/>
      <c r="H97" s="26"/>
      <c r="I97" s="26"/>
      <c r="L97" s="26"/>
      <c r="M97" s="26"/>
      <c r="N97" s="26"/>
      <c r="Q97" s="26"/>
      <c r="R97" s="26"/>
      <c r="S97" s="26"/>
      <c r="V97" s="26"/>
      <c r="W97" s="26"/>
      <c r="X97" s="26"/>
      <c r="AA97" s="26"/>
      <c r="AB97" s="26"/>
      <c r="AC97" s="26"/>
      <c r="AF97" s="26"/>
      <c r="AG97" s="26"/>
      <c r="AH97" s="26"/>
    </row>
    <row r="98" spans="2:44" ht="15">
      <c r="B98" s="15"/>
      <c r="C98" s="15"/>
      <c r="D98" s="15"/>
      <c r="E98" s="6"/>
      <c r="G98" s="26"/>
      <c r="H98" s="26"/>
      <c r="I98" s="26"/>
      <c r="L98" s="26"/>
      <c r="M98" s="26"/>
      <c r="N98" s="26"/>
      <c r="Q98" s="26"/>
      <c r="R98" s="26"/>
      <c r="S98" s="26"/>
      <c r="V98" s="26"/>
      <c r="W98" s="26"/>
      <c r="X98" s="26"/>
      <c r="AA98" s="26"/>
      <c r="AB98" s="26"/>
      <c r="AC98" s="26"/>
      <c r="AF98" s="26"/>
      <c r="AG98" s="26"/>
      <c r="AH98" s="26"/>
    </row>
    <row r="99" spans="2:44" ht="16" thickBot="1">
      <c r="B99" s="25" t="str">
        <f>"El criterio con el quinto peso es: "&amp;VLOOKUP(5,$G$32:$H$36,2,0)</f>
        <v>El criterio con el quinto peso es: Criterio 4</v>
      </c>
    </row>
    <row r="100" spans="2:44" ht="14" customHeight="1">
      <c r="B100" s="161" t="str">
        <f>"¿Qué puntuación le das a "&amp;D91&amp;" en el criterio "&amp;VLOOKUP(5,$G$32:$H$36,2,0)&amp;"?"</f>
        <v>¿Qué puntuación le das a Marca 1 en el criterio Criterio 4?</v>
      </c>
      <c r="C100" s="162"/>
      <c r="D100" s="163"/>
      <c r="E100" s="145">
        <v>5</v>
      </c>
      <c r="G100" s="161" t="str">
        <f>"¿Qué puntuación le das a "&amp;$D$92&amp;" en el criterio "&amp;VLOOKUP(5,$G$32:$H$36,2,0)&amp;"?"</f>
        <v>¿Qué puntuación le das a Marca 2 en el criterio Criterio 4?</v>
      </c>
      <c r="H100" s="162"/>
      <c r="I100" s="163"/>
      <c r="J100" s="145">
        <v>5</v>
      </c>
      <c r="L100" s="161" t="str">
        <f>"¿Qué puntuación le das a "&amp;$D$93&amp;" en el criterio "&amp;VLOOKUP(5,$G$32:$H$36,2,0)&amp;"?"</f>
        <v>¿Qué puntuación le das a Marca 3 en el criterio Criterio 4?</v>
      </c>
      <c r="M100" s="162"/>
      <c r="N100" s="163"/>
      <c r="O100" s="145">
        <v>5</v>
      </c>
      <c r="Q100" s="161" t="str">
        <f>"¿Qué puntuación le das a "&amp;$D$94&amp;" en el criterio "&amp;VLOOKUP(5,$G$32:$H$36,2,0)&amp;"?"</f>
        <v>¿Qué puntuación le das a Marca 4 en el criterio Criterio 4?</v>
      </c>
      <c r="R100" s="162"/>
      <c r="S100" s="163"/>
      <c r="T100" s="145">
        <v>5</v>
      </c>
      <c r="V100" s="161" t="str">
        <f>"¿Qué puntuación le das a "&amp;$D$95&amp;" en el criterio "&amp;VLOOKUP(5,$G$32:$H$36,2,0)&amp;"?"</f>
        <v>¿Qué puntuación le das a Marca 5 en el criterio Criterio 4?</v>
      </c>
      <c r="W100" s="162"/>
      <c r="X100" s="163"/>
      <c r="Y100" s="145">
        <v>5</v>
      </c>
      <c r="AA100" s="161" t="str">
        <f>"¿Qué puntuación le das a "&amp;$D$96&amp;" en el criterio "&amp;VLOOKUP(5,$G$32:$H$36,2,0)&amp;"?"</f>
        <v>¿Qué puntuación le das a Marca 6 en el criterio Criterio 4?</v>
      </c>
      <c r="AB100" s="162"/>
      <c r="AC100" s="163"/>
      <c r="AD100" s="145">
        <v>5</v>
      </c>
      <c r="AF100" s="161" t="str">
        <f>"¿Qué puntuación le das a "&amp;$D$97&amp;" en el criterio "&amp;VLOOKUP(5,$G$32:$H$36,2,0)&amp;"?"</f>
        <v>¿Qué puntuación le das a Marca 7 en el criterio Criterio 4?</v>
      </c>
      <c r="AG100" s="162"/>
      <c r="AH100" s="163"/>
      <c r="AI100" s="145">
        <v>5</v>
      </c>
      <c r="AK100" s="4">
        <f>MAX(AL100:AL106)</f>
        <v>5</v>
      </c>
      <c r="AL100" s="4">
        <f>E100</f>
        <v>5</v>
      </c>
      <c r="AM100" s="4" t="str">
        <f t="shared" ref="AM100:AM106" si="22">D91</f>
        <v>Marca 1</v>
      </c>
      <c r="AN100" s="14">
        <f>IF(AL100=$AK$87,AL100,0)+0.000000000007</f>
        <v>5.0000000000069997</v>
      </c>
      <c r="AO100" s="4">
        <f>RANK(AN100,$AN$87:$AN$93)</f>
        <v>1</v>
      </c>
      <c r="AP100" s="4" t="str">
        <f t="shared" ref="AP100:AP106" si="23">AM100</f>
        <v>Marca 1</v>
      </c>
      <c r="AR100" s="4" t="str">
        <f>VLOOKUP(1,$AO$87:$AP$93,2,0)</f>
        <v>Marca 1</v>
      </c>
    </row>
    <row r="101" spans="2:44" ht="14.25" customHeight="1">
      <c r="B101" s="164"/>
      <c r="C101" s="160"/>
      <c r="D101" s="165"/>
      <c r="E101" s="146"/>
      <c r="G101" s="164"/>
      <c r="H101" s="160"/>
      <c r="I101" s="165"/>
      <c r="J101" s="146"/>
      <c r="L101" s="164"/>
      <c r="M101" s="160"/>
      <c r="N101" s="165"/>
      <c r="O101" s="146"/>
      <c r="P101" s="16"/>
      <c r="Q101" s="164"/>
      <c r="R101" s="160"/>
      <c r="S101" s="165"/>
      <c r="T101" s="146"/>
      <c r="V101" s="164"/>
      <c r="W101" s="160"/>
      <c r="X101" s="165"/>
      <c r="Y101" s="146"/>
      <c r="AA101" s="164"/>
      <c r="AB101" s="160"/>
      <c r="AC101" s="165"/>
      <c r="AD101" s="146"/>
      <c r="AF101" s="164"/>
      <c r="AG101" s="160"/>
      <c r="AH101" s="165"/>
      <c r="AI101" s="146"/>
      <c r="AK101" s="4">
        <f>COUNTIF(AL100:AL106,$AK$87)</f>
        <v>7</v>
      </c>
      <c r="AL101" s="4">
        <f>IF(AK88&lt;2,0,J100)</f>
        <v>5</v>
      </c>
      <c r="AM101" s="4" t="str">
        <f t="shared" si="22"/>
        <v>Marca 2</v>
      </c>
      <c r="AN101" s="14">
        <f>IF(AL101=$AK$87,AL101,0)+0.000000000006</f>
        <v>5.0000000000059996</v>
      </c>
      <c r="AO101" s="4">
        <f t="shared" ref="AO101:AO106" si="24">RANK(AN101,$AN$87:$AN$93)</f>
        <v>2</v>
      </c>
      <c r="AP101" s="4" t="str">
        <f t="shared" si="23"/>
        <v>Marca 2</v>
      </c>
      <c r="AR101" s="4" t="str">
        <f>IF($AK$88&lt;2," ",VLOOKUP(2,$AO$87:$AP$93,2,0))</f>
        <v>Marca 2</v>
      </c>
    </row>
    <row r="102" spans="2:44" ht="15" customHeight="1" thickBot="1">
      <c r="B102" s="166"/>
      <c r="C102" s="167"/>
      <c r="D102" s="168"/>
      <c r="E102" s="147"/>
      <c r="G102" s="166"/>
      <c r="H102" s="167"/>
      <c r="I102" s="168"/>
      <c r="J102" s="147"/>
      <c r="L102" s="166"/>
      <c r="M102" s="167"/>
      <c r="N102" s="168"/>
      <c r="O102" s="147"/>
      <c r="Q102" s="166"/>
      <c r="R102" s="167"/>
      <c r="S102" s="168"/>
      <c r="T102" s="147"/>
      <c r="V102" s="166"/>
      <c r="W102" s="167"/>
      <c r="X102" s="168"/>
      <c r="Y102" s="147"/>
      <c r="AA102" s="166"/>
      <c r="AB102" s="167"/>
      <c r="AC102" s="168"/>
      <c r="AD102" s="147"/>
      <c r="AF102" s="166"/>
      <c r="AG102" s="167"/>
      <c r="AH102" s="168"/>
      <c r="AI102" s="147"/>
      <c r="AL102" s="4">
        <f>IF(AK88&lt;3,0,O100)</f>
        <v>5</v>
      </c>
      <c r="AM102" s="4" t="str">
        <f t="shared" si="22"/>
        <v>Marca 3</v>
      </c>
      <c r="AN102" s="14">
        <f>IF(AL102=$AK$87,AL102,0)+0.000000000005</f>
        <v>5.0000000000049996</v>
      </c>
      <c r="AO102" s="4">
        <f t="shared" si="24"/>
        <v>3</v>
      </c>
      <c r="AP102" s="4" t="str">
        <f t="shared" si="23"/>
        <v>Marca 3</v>
      </c>
      <c r="AR102" s="4" t="str">
        <f>IF($AK$75&lt;2," ",VLOOKUP(3,$AO$87:$AP$93,2,0))</f>
        <v>Marca 3</v>
      </c>
    </row>
    <row r="103" spans="2:44" ht="15">
      <c r="B103" s="15"/>
      <c r="C103" s="15"/>
      <c r="D103" s="15"/>
      <c r="E103" s="6"/>
      <c r="AL103" s="4">
        <f>IF(AK88&lt;4,0,T100)</f>
        <v>5</v>
      </c>
      <c r="AM103" s="4" t="str">
        <f t="shared" si="22"/>
        <v>Marca 4</v>
      </c>
      <c r="AN103" s="14">
        <f>IF(AL103=$AK$87,AL103,0)+0.000000000004</f>
        <v>5.0000000000040004</v>
      </c>
      <c r="AO103" s="4">
        <f t="shared" si="24"/>
        <v>4</v>
      </c>
      <c r="AP103" s="4" t="str">
        <f t="shared" si="23"/>
        <v>Marca 4</v>
      </c>
      <c r="AR103" s="4" t="str">
        <f>IF($AK$75&lt;2," ",VLOOKUP(4,$AO$87:$AP$93,2,0))</f>
        <v>Marca 4</v>
      </c>
    </row>
    <row r="104" spans="2:44" ht="15" customHeight="1">
      <c r="B104" s="160" t="str">
        <f>IF(AK101&gt;1,"Opciones con el máximo peso","Opcion seleccionada")</f>
        <v>Opciones con el máximo peso</v>
      </c>
      <c r="C104" s="160"/>
      <c r="D104" s="15" t="str">
        <f t="shared" ref="D104:D110" si="25">AR100</f>
        <v>Marca 1</v>
      </c>
      <c r="E104" s="6"/>
      <c r="AL104" s="4">
        <f>IF(AK88&lt;5,0,Y100)</f>
        <v>5</v>
      </c>
      <c r="AM104" s="4" t="str">
        <f t="shared" si="22"/>
        <v>Marca 5</v>
      </c>
      <c r="AN104" s="14">
        <f>IF(AL104=$AK$87,AL104,0)+0.000000000003</f>
        <v>5.0000000000030003</v>
      </c>
      <c r="AO104" s="4">
        <f t="shared" si="24"/>
        <v>5</v>
      </c>
      <c r="AP104" s="4" t="str">
        <f t="shared" si="23"/>
        <v>Marca 5</v>
      </c>
      <c r="AR104" s="4" t="str">
        <f>IF($AK$75&lt;2," ",VLOOKUP(5,$AO$87:$AP$93,2,0))</f>
        <v>Marca 5</v>
      </c>
    </row>
    <row r="105" spans="2:44" ht="16">
      <c r="B105" s="15"/>
      <c r="C105" s="15"/>
      <c r="D105" s="15" t="str">
        <f t="shared" si="25"/>
        <v>Marca 2</v>
      </c>
      <c r="E105" s="6"/>
      <c r="G105" s="160"/>
      <c r="H105" s="160"/>
      <c r="I105" s="160"/>
      <c r="J105" s="159"/>
      <c r="L105" s="160"/>
      <c r="M105" s="160"/>
      <c r="N105" s="160"/>
      <c r="O105" s="159"/>
      <c r="Q105" s="160"/>
      <c r="R105" s="160"/>
      <c r="S105" s="160"/>
      <c r="T105" s="159"/>
      <c r="V105" s="160"/>
      <c r="W105" s="160"/>
      <c r="X105" s="160"/>
      <c r="Y105" s="159"/>
      <c r="AA105" s="160"/>
      <c r="AB105" s="160"/>
      <c r="AC105" s="160"/>
      <c r="AD105" s="159"/>
      <c r="AF105" s="160"/>
      <c r="AG105" s="160"/>
      <c r="AH105" s="160"/>
      <c r="AI105" s="159"/>
      <c r="AL105" s="4">
        <f>IF(AK88&lt;6,0,AD100)</f>
        <v>5</v>
      </c>
      <c r="AM105" s="4" t="str">
        <f t="shared" si="22"/>
        <v>Marca 6</v>
      </c>
      <c r="AN105" s="14">
        <f>IF(AL105=$AK$87,AL105,0)+0.000000000002</f>
        <v>5.0000000000020002</v>
      </c>
      <c r="AO105" s="4">
        <f t="shared" si="24"/>
        <v>6</v>
      </c>
      <c r="AP105" s="4" t="str">
        <f t="shared" si="23"/>
        <v>Marca 6</v>
      </c>
      <c r="AR105" s="4" t="str">
        <f>IF($AK$75&lt;2," ",VLOOKUP(6,$AO$87:$AP$93,2,0))</f>
        <v>Marca 6</v>
      </c>
    </row>
    <row r="106" spans="2:44" ht="16">
      <c r="B106" s="15"/>
      <c r="C106" s="15"/>
      <c r="D106" s="15" t="str">
        <f t="shared" si="25"/>
        <v>Marca 3</v>
      </c>
      <c r="E106" s="6"/>
      <c r="G106" s="160"/>
      <c r="H106" s="160"/>
      <c r="I106" s="160"/>
      <c r="J106" s="159"/>
      <c r="L106" s="160"/>
      <c r="M106" s="160"/>
      <c r="N106" s="160"/>
      <c r="O106" s="159"/>
      <c r="Q106" s="160"/>
      <c r="R106" s="160"/>
      <c r="S106" s="160"/>
      <c r="T106" s="159"/>
      <c r="V106" s="160"/>
      <c r="W106" s="160"/>
      <c r="X106" s="160"/>
      <c r="Y106" s="159"/>
      <c r="AA106" s="160"/>
      <c r="AB106" s="160"/>
      <c r="AC106" s="160"/>
      <c r="AD106" s="159"/>
      <c r="AF106" s="160"/>
      <c r="AG106" s="160"/>
      <c r="AH106" s="160"/>
      <c r="AI106" s="159"/>
      <c r="AL106" s="4">
        <f>IF(AK88&lt;7,0,AI100)</f>
        <v>5</v>
      </c>
      <c r="AM106" s="4" t="str">
        <f t="shared" si="22"/>
        <v>Marca 7</v>
      </c>
      <c r="AN106" s="14">
        <f>IF(AL106=$AK$87,AL106,0)+0.000000000001</f>
        <v>5.0000000000010001</v>
      </c>
      <c r="AO106" s="4">
        <f t="shared" si="24"/>
        <v>7</v>
      </c>
      <c r="AP106" s="4" t="str">
        <f t="shared" si="23"/>
        <v>Marca 7</v>
      </c>
      <c r="AR106" s="4" t="str">
        <f>IF($AK$75&lt;2," ",VLOOKUP(7,$AO$87:$AP$93,2,0))</f>
        <v>Marca 7</v>
      </c>
    </row>
    <row r="107" spans="2:44" ht="16">
      <c r="B107" s="15"/>
      <c r="C107" s="15"/>
      <c r="D107" s="15" t="str">
        <f t="shared" si="25"/>
        <v>Marca 4</v>
      </c>
      <c r="E107" s="6"/>
      <c r="G107" s="160"/>
      <c r="H107" s="160"/>
      <c r="I107" s="160"/>
      <c r="J107" s="159"/>
      <c r="L107" s="160"/>
      <c r="M107" s="160"/>
      <c r="N107" s="160"/>
      <c r="O107" s="159"/>
      <c r="Q107" s="160"/>
      <c r="R107" s="160"/>
      <c r="S107" s="160"/>
      <c r="T107" s="159"/>
      <c r="V107" s="160"/>
      <c r="W107" s="160"/>
      <c r="X107" s="160"/>
      <c r="Y107" s="159"/>
      <c r="AA107" s="160"/>
      <c r="AB107" s="160"/>
      <c r="AC107" s="160"/>
      <c r="AD107" s="159"/>
      <c r="AF107" s="160"/>
      <c r="AG107" s="160"/>
      <c r="AH107" s="160"/>
      <c r="AI107" s="159"/>
    </row>
    <row r="108" spans="2:44" ht="16">
      <c r="D108" s="15" t="str">
        <f t="shared" si="25"/>
        <v>Marca 5</v>
      </c>
    </row>
    <row r="109" spans="2:44" ht="16">
      <c r="D109" s="15" t="str">
        <f t="shared" si="25"/>
        <v>Marca 6</v>
      </c>
    </row>
    <row r="110" spans="2:44" ht="16">
      <c r="D110" s="15" t="str">
        <f t="shared" si="25"/>
        <v>Marca 7</v>
      </c>
      <c r="G110" s="26"/>
      <c r="H110" s="26"/>
      <c r="I110" s="26"/>
      <c r="L110" s="26"/>
      <c r="M110" s="26"/>
      <c r="N110" s="26"/>
      <c r="Q110" s="26"/>
      <c r="R110" s="26"/>
      <c r="S110" s="26"/>
      <c r="V110" s="26"/>
      <c r="W110" s="26"/>
      <c r="X110" s="26"/>
      <c r="AA110" s="26"/>
      <c r="AB110" s="26"/>
      <c r="AC110" s="26"/>
      <c r="AF110" s="26"/>
      <c r="AG110" s="26"/>
      <c r="AH110" s="26"/>
    </row>
    <row r="111" spans="2:44" ht="15">
      <c r="B111" s="15"/>
      <c r="C111" s="15"/>
      <c r="D111" s="15"/>
      <c r="E111" s="6"/>
      <c r="G111" s="26"/>
      <c r="H111" s="26"/>
      <c r="I111" s="26"/>
      <c r="L111" s="26"/>
      <c r="M111" s="26"/>
      <c r="N111" s="26"/>
      <c r="Q111" s="26"/>
      <c r="R111" s="26"/>
      <c r="S111" s="26"/>
      <c r="V111" s="26"/>
      <c r="W111" s="26"/>
      <c r="X111" s="26"/>
      <c r="AA111" s="26"/>
      <c r="AB111" s="26"/>
      <c r="AC111" s="26"/>
      <c r="AF111" s="26"/>
      <c r="AG111" s="26"/>
      <c r="AH111" s="26"/>
    </row>
    <row r="112" spans="2:44"/>
    <row r="113"/>
  </sheetData>
  <mergeCells count="115">
    <mergeCell ref="B52:C52"/>
    <mergeCell ref="B65:C65"/>
    <mergeCell ref="B78:C78"/>
    <mergeCell ref="B87:D89"/>
    <mergeCell ref="E87:E89"/>
    <mergeCell ref="B74:D76"/>
    <mergeCell ref="E74:E76"/>
    <mergeCell ref="Y92:Y94"/>
    <mergeCell ref="B91:C91"/>
    <mergeCell ref="L87:N89"/>
    <mergeCell ref="O87:O89"/>
    <mergeCell ref="Q87:S89"/>
    <mergeCell ref="T87:T89"/>
    <mergeCell ref="V87:X89"/>
    <mergeCell ref="O100:O102"/>
    <mergeCell ref="Q100:S102"/>
    <mergeCell ref="T100:T102"/>
    <mergeCell ref="V100:X102"/>
    <mergeCell ref="O105:O107"/>
    <mergeCell ref="Q105:S107"/>
    <mergeCell ref="T105:T107"/>
    <mergeCell ref="V105:X107"/>
    <mergeCell ref="O92:O94"/>
    <mergeCell ref="L100:N102"/>
    <mergeCell ref="G105:I107"/>
    <mergeCell ref="J105:J107"/>
    <mergeCell ref="L105:N107"/>
    <mergeCell ref="G74:I76"/>
    <mergeCell ref="J74:J76"/>
    <mergeCell ref="L74:N76"/>
    <mergeCell ref="O74:O76"/>
    <mergeCell ref="AI92:AI94"/>
    <mergeCell ref="Y87:Y89"/>
    <mergeCell ref="J87:J89"/>
    <mergeCell ref="G87:I89"/>
    <mergeCell ref="AA74:AC76"/>
    <mergeCell ref="AD74:AD76"/>
    <mergeCell ref="AA92:AC94"/>
    <mergeCell ref="AD92:AD94"/>
    <mergeCell ref="AA87:AC89"/>
    <mergeCell ref="AD87:AD89"/>
    <mergeCell ref="AF87:AH89"/>
    <mergeCell ref="AF92:AH94"/>
    <mergeCell ref="AI87:AI89"/>
    <mergeCell ref="Q74:S76"/>
    <mergeCell ref="Q92:S94"/>
    <mergeCell ref="T92:T94"/>
    <mergeCell ref="AF48:AH50"/>
    <mergeCell ref="AF74:AH76"/>
    <mergeCell ref="AD61:AD63"/>
    <mergeCell ref="AF61:AH63"/>
    <mergeCell ref="AA48:AC50"/>
    <mergeCell ref="AD48:AD50"/>
    <mergeCell ref="G92:I94"/>
    <mergeCell ref="J92:J94"/>
    <mergeCell ref="L92:N94"/>
    <mergeCell ref="V92:X94"/>
    <mergeCell ref="AI61:AI63"/>
    <mergeCell ref="AI74:AI76"/>
    <mergeCell ref="AI48:AI50"/>
    <mergeCell ref="B61:D63"/>
    <mergeCell ref="E61:E63"/>
    <mergeCell ref="G61:I63"/>
    <mergeCell ref="J61:J63"/>
    <mergeCell ref="L61:N63"/>
    <mergeCell ref="J48:J50"/>
    <mergeCell ref="L48:N50"/>
    <mergeCell ref="O48:O50"/>
    <mergeCell ref="Q48:S50"/>
    <mergeCell ref="T48:T50"/>
    <mergeCell ref="V48:X50"/>
    <mergeCell ref="AA61:AC63"/>
    <mergeCell ref="Y48:Y50"/>
    <mergeCell ref="Y61:Y63"/>
    <mergeCell ref="Y74:Y76"/>
    <mergeCell ref="V61:X63"/>
    <mergeCell ref="O61:O63"/>
    <mergeCell ref="Q61:S63"/>
    <mergeCell ref="T61:T63"/>
    <mergeCell ref="T74:T76"/>
    <mergeCell ref="V74:X76"/>
    <mergeCell ref="B100:D102"/>
    <mergeCell ref="E100:E102"/>
    <mergeCell ref="B104:C104"/>
    <mergeCell ref="G100:I102"/>
    <mergeCell ref="J100:J102"/>
    <mergeCell ref="N9:P10"/>
    <mergeCell ref="F2:I3"/>
    <mergeCell ref="F9:H10"/>
    <mergeCell ref="J9:L10"/>
    <mergeCell ref="B2:E3"/>
    <mergeCell ref="B9:D10"/>
    <mergeCell ref="F12:H13"/>
    <mergeCell ref="J12:L13"/>
    <mergeCell ref="F20:H21"/>
    <mergeCell ref="J20:L21"/>
    <mergeCell ref="B12:D13"/>
    <mergeCell ref="B20:D21"/>
    <mergeCell ref="F23:H24"/>
    <mergeCell ref="H27:K27"/>
    <mergeCell ref="B42:G42"/>
    <mergeCell ref="B48:D50"/>
    <mergeCell ref="E48:E50"/>
    <mergeCell ref="G48:I50"/>
    <mergeCell ref="B23:D24"/>
    <mergeCell ref="Y105:Y107"/>
    <mergeCell ref="AA105:AC107"/>
    <mergeCell ref="AD105:AD107"/>
    <mergeCell ref="AF105:AH107"/>
    <mergeCell ref="AI105:AI107"/>
    <mergeCell ref="Y100:Y102"/>
    <mergeCell ref="AA100:AC102"/>
    <mergeCell ref="AD100:AD102"/>
    <mergeCell ref="AF100:AH102"/>
    <mergeCell ref="AI100:AI102"/>
  </mergeCells>
  <conditionalFormatting sqref="B12:D13">
    <cfRule type="expression" dxfId="22" priority="215">
      <formula>$P$5&lt;5</formula>
    </cfRule>
  </conditionalFormatting>
  <conditionalFormatting sqref="B23:D24">
    <cfRule type="expression" dxfId="21" priority="34">
      <formula>$P$16&lt;4</formula>
    </cfRule>
  </conditionalFormatting>
  <conditionalFormatting sqref="B34:D34">
    <cfRule type="expression" dxfId="20" priority="28">
      <formula>"if$C$2&lt;3"</formula>
    </cfRule>
  </conditionalFormatting>
  <conditionalFormatting sqref="B35:D35">
    <cfRule type="expression" dxfId="19" priority="29">
      <formula>$P$16&lt;4</formula>
    </cfRule>
  </conditionalFormatting>
  <conditionalFormatting sqref="B36:D36">
    <cfRule type="expression" dxfId="18" priority="30">
      <formula>$P$16&lt;5</formula>
    </cfRule>
  </conditionalFormatting>
  <conditionalFormatting sqref="B60:E63">
    <cfRule type="expression" dxfId="17" priority="119">
      <formula>$AK$49=1</formula>
    </cfRule>
  </conditionalFormatting>
  <conditionalFormatting sqref="B74:E76">
    <cfRule type="expression" dxfId="16" priority="51">
      <formula>$AK$62=1</formula>
    </cfRule>
  </conditionalFormatting>
  <conditionalFormatting sqref="B86:AI98">
    <cfRule type="expression" dxfId="15" priority="6">
      <formula>$P$16&lt;4</formula>
    </cfRule>
  </conditionalFormatting>
  <conditionalFormatting sqref="B99:AI110">
    <cfRule type="expression" dxfId="14" priority="1">
      <formula>$P$16&lt;5</formula>
    </cfRule>
  </conditionalFormatting>
  <conditionalFormatting sqref="F12:H13">
    <cfRule type="expression" dxfId="13" priority="36">
      <formula>$P$5&lt;6</formula>
    </cfRule>
  </conditionalFormatting>
  <conditionalFormatting sqref="F23:H24">
    <cfRule type="expression" dxfId="12" priority="223">
      <formula>$P$16&lt;5</formula>
    </cfRule>
  </conditionalFormatting>
  <conditionalFormatting sqref="G61:J72">
    <cfRule type="expression" dxfId="11" priority="120">
      <formula>$AK$49&lt;2</formula>
    </cfRule>
  </conditionalFormatting>
  <conditionalFormatting sqref="G74:J76">
    <cfRule type="expression" dxfId="10" priority="52">
      <formula>$AK$62&lt;2</formula>
    </cfRule>
  </conditionalFormatting>
  <conditionalFormatting sqref="J12:L13">
    <cfRule type="expression" dxfId="9" priority="35">
      <formula>$P$5&lt;7</formula>
    </cfRule>
  </conditionalFormatting>
  <conditionalFormatting sqref="L61:O72">
    <cfRule type="expression" dxfId="8" priority="121">
      <formula>$AK$49&lt;3</formula>
    </cfRule>
  </conditionalFormatting>
  <conditionalFormatting sqref="L74:O76">
    <cfRule type="expression" dxfId="7" priority="53">
      <formula>$AK$62&lt;3</formula>
    </cfRule>
  </conditionalFormatting>
  <conditionalFormatting sqref="N9:P10">
    <cfRule type="expression" dxfId="6" priority="219">
      <formula>$P$5&lt;4</formula>
    </cfRule>
  </conditionalFormatting>
  <conditionalFormatting sqref="Q48:T110">
    <cfRule type="expression" dxfId="5" priority="5">
      <formula>$P$5&lt;4</formula>
    </cfRule>
  </conditionalFormatting>
  <conditionalFormatting sqref="V48:Y110">
    <cfRule type="expression" dxfId="4" priority="4">
      <formula>$P$5&lt;5</formula>
    </cfRule>
  </conditionalFormatting>
  <conditionalFormatting sqref="AA48:AD110">
    <cfRule type="expression" dxfId="3" priority="3">
      <formula>$P$5&lt;6</formula>
    </cfRule>
  </conditionalFormatting>
  <conditionalFormatting sqref="AA111:AD111">
    <cfRule type="expression" dxfId="2" priority="216">
      <formula>$P$5&lt;6</formula>
    </cfRule>
  </conditionalFormatting>
  <conditionalFormatting sqref="AF48:AI110">
    <cfRule type="expression" dxfId="1" priority="2">
      <formula>$P$5&lt;7</formula>
    </cfRule>
  </conditionalFormatting>
  <conditionalFormatting sqref="AF111:AI111">
    <cfRule type="expression" dxfId="0" priority="218">
      <formula>$P$5&lt;7</formula>
    </cfRule>
  </conditionalFormatting>
  <dataValidations disablePrompts="1" count="8">
    <dataValidation type="whole" allowBlank="1" showInputMessage="1" showErrorMessage="1" sqref="P5" xr:uid="{0E9FE82F-0CB1-436B-B586-656DD0DC1C04}">
      <formula1>3</formula1>
      <formula2>7</formula2>
    </dataValidation>
    <dataValidation type="whole" allowBlank="1" showInputMessage="1" showErrorMessage="1" sqref="E87:E94 O110:O111 T110:T111 Y110:Y111 AD110:AD111 AI110:AI111 E111 AI48:AI55 J61:J72 O61:O72 T61:T72 Y61:Y72 AD61:AD72 AI61:AI72 AI87:AI89 J92:J94 O92:O94 T92:T94 Y92:Y94 AD92:AD94 AI92:AI94 E61:E68 J48:J55 O48:O55 T48:T55 Y48:Y55 AD48:AD55 E48:E55 J74:J76 O74:O76 T74:T76 Y74:Y76 AD74:AD76 AI74:AI76 E74:E81 J87:J89 O87:O89 T87:T89 Y87:Y89 AD87:AD89 E98 AI97:AI98 AD97:AD98 Y97:Y98 T97:T98 O97:O98 J97:J98 J110:J111 E100:E107 AI105:AI107 J105:J107 O105:O107 T105:T107 Y105:Y107 AD105:AD107 AI100:AI102 J100:J102 O100:O102 T100:T102 Y100:Y102 AD100:AD102" xr:uid="{DD9C9731-00EC-40CA-B030-E79DBD26AA09}">
      <formula1>1</formula1>
      <formula2>$Q$5</formula2>
    </dataValidation>
    <dataValidation errorStyle="warning" allowBlank="1" showInputMessage="1" showErrorMessage="1" errorTitle="Debe sumar 100%" promptTitle="Suma debe ser 100%" prompt="Revisar suma" sqref="D37" xr:uid="{A2336ECE-A9A4-48C0-9AFD-9526DFF09953}"/>
    <dataValidation type="whole" allowBlank="1" showInputMessage="1" showErrorMessage="1" sqref="P16" xr:uid="{A8550AC5-8161-41D7-A1AD-AC3860AD345C}">
      <formula1>3</formula1>
      <formula2>5</formula2>
    </dataValidation>
    <dataValidation type="whole" allowBlank="1" showInputMessage="1" showErrorMessage="1" sqref="C25:C26 C17" xr:uid="{7AE147CC-1BB7-474B-A230-C8E7A4BA67AA}">
      <formula1>2</formula1>
      <formula2>5</formula2>
    </dataValidation>
    <dataValidation type="whole" allowBlank="1" showInputMessage="1" showErrorMessage="1" sqref="C6:C8 C10:C11 C21:C22 C24 C18:C19 C14:C15" xr:uid="{79AE0BDC-EAC8-4BE2-B9E0-6AAA7AEA5808}">
      <formula1>2</formula1>
      <formula2>7</formula2>
    </dataValidation>
    <dataValidation type="list" allowBlank="1" showInputMessage="1" showErrorMessage="1" sqref="H27" xr:uid="{8CFA3DF0-3804-45AD-81C0-7A1F0390E820}">
      <formula1>$P$2:$P$4</formula1>
    </dataValidation>
    <dataValidation type="custom" errorStyle="warning" allowBlank="1" showInputMessage="1" showErrorMessage="1" errorTitle="Debe sumar 100%" promptTitle="Suma debe ser 100%" prompt="Revisar suma" sqref="D32:D36" xr:uid="{5D64D123-5F98-4176-8EC8-10CF8FC11ED0}">
      <formula1>"sum($C$32:$C$36)=1"</formula1>
    </dataValidation>
  </dataValidations>
  <pageMargins left="0.7" right="0.7" top="0.75" bottom="0.75" header="0.3" footer="0.3"/>
  <pageSetup orientation="portrait" r:id="rId1"/>
  <ignoredErrors>
    <ignoredError sqref="B9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P1</vt:lpstr>
      <vt:lpstr>P2</vt:lpstr>
      <vt:lpstr>P3</vt:lpstr>
      <vt:lpstr>P0</vt:lpstr>
      <vt:lpstr>A0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Acuna</dc:creator>
  <cp:lastModifiedBy>Microsoft Office User</cp:lastModifiedBy>
  <dcterms:created xsi:type="dcterms:W3CDTF">2023-01-29T04:05:31Z</dcterms:created>
  <dcterms:modified xsi:type="dcterms:W3CDTF">2024-06-12T14:38:49Z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